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e-my.sharepoint.com/personal/brabenet_vse_cz/Documents/1FP303_FINANCNI ANALYZA/CVICENI/4_cviceni/"/>
    </mc:Choice>
  </mc:AlternateContent>
  <xr:revisionPtr revIDLastSave="2" documentId="8_{2474AFEE-0B4F-5247-B13B-B5A96A9FC6F2}" xr6:coauthVersionLast="47" xr6:coauthVersionMax="47" xr10:uidLastSave="{7D86C7A9-E1C8-734E-88AB-E3F74EB4B94A}"/>
  <bookViews>
    <workbookView xWindow="29180" yWindow="2040" windowWidth="36200" windowHeight="24600" xr2:uid="{00000000-000D-0000-FFFF-FFFF00000000}"/>
  </bookViews>
  <sheets>
    <sheet name="ALZA.cz_data se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5" l="1"/>
  <c r="B54" i="5"/>
  <c r="C53" i="5"/>
  <c r="B53" i="5"/>
  <c r="C51" i="5"/>
  <c r="B51" i="5"/>
  <c r="G44" i="5"/>
  <c r="H44" i="5"/>
  <c r="F44" i="5"/>
  <c r="F50" i="5" s="1"/>
  <c r="E44" i="5"/>
  <c r="D44" i="5"/>
  <c r="D50" i="5" s="1"/>
  <c r="B44" i="5"/>
  <c r="B50" i="5" s="1"/>
  <c r="C44" i="5"/>
  <c r="C50" i="5" s="1"/>
  <c r="C30" i="5"/>
  <c r="D30" i="5"/>
  <c r="E30" i="5"/>
  <c r="F30" i="5"/>
  <c r="G30" i="5"/>
  <c r="H30" i="5"/>
  <c r="B30" i="5"/>
  <c r="B26" i="5"/>
  <c r="C26" i="5"/>
  <c r="D26" i="5"/>
  <c r="E26" i="5"/>
  <c r="F26" i="5"/>
  <c r="G26" i="5"/>
  <c r="H26" i="5"/>
  <c r="B20" i="5"/>
  <c r="C20" i="5"/>
  <c r="C13" i="5"/>
  <c r="D13" i="5"/>
  <c r="E13" i="5"/>
  <c r="F13" i="5"/>
  <c r="G13" i="5"/>
  <c r="B13" i="5"/>
  <c r="B9" i="5"/>
  <c r="C9" i="5"/>
  <c r="B5" i="5"/>
  <c r="C5" i="5"/>
  <c r="C55" i="5" l="1"/>
  <c r="C57" i="5" s="1"/>
  <c r="B55" i="5"/>
  <c r="B57" i="5"/>
  <c r="B34" i="5"/>
  <c r="C34" i="5"/>
  <c r="C18" i="5"/>
  <c r="B18" i="5"/>
  <c r="H10" i="5" l="1"/>
  <c r="H13" i="5" s="1"/>
  <c r="F9" i="5"/>
  <c r="D51" i="5"/>
  <c r="D54" i="5"/>
  <c r="D53" i="5"/>
  <c r="D9" i="5"/>
  <c r="D5" i="5"/>
  <c r="D55" i="5" l="1"/>
  <c r="D18" i="5"/>
  <c r="D57" i="5"/>
  <c r="G54" i="5"/>
  <c r="D25" i="5" l="1"/>
  <c r="D20" i="5" s="1"/>
  <c r="D34" i="5" s="1"/>
  <c r="E54" i="5"/>
  <c r="E53" i="5"/>
  <c r="E51" i="5"/>
  <c r="E49" i="5"/>
  <c r="E43" i="5"/>
  <c r="E9" i="5"/>
  <c r="E5" i="5"/>
  <c r="F53" i="5"/>
  <c r="F54" i="5"/>
  <c r="H54" i="5"/>
  <c r="F5" i="5"/>
  <c r="F18" i="5" s="1"/>
  <c r="G5" i="5"/>
  <c r="E50" i="5" l="1"/>
  <c r="F55" i="5"/>
  <c r="E55" i="5"/>
  <c r="E18" i="5"/>
  <c r="H49" i="5"/>
  <c r="G49" i="5"/>
  <c r="G50" i="5" s="1"/>
  <c r="G15" i="5"/>
  <c r="H5" i="5"/>
  <c r="H18" i="5" s="1"/>
  <c r="H50" i="5" l="1"/>
  <c r="H55" i="5" s="1"/>
  <c r="H57" i="5" s="1"/>
  <c r="G9" i="5"/>
  <c r="G18" i="5" s="1"/>
  <c r="E57" i="5"/>
  <c r="G55" i="5"/>
  <c r="F57" i="5"/>
  <c r="F25" i="5" l="1"/>
  <c r="F20" i="5" s="1"/>
  <c r="G57" i="5"/>
  <c r="E25" i="5"/>
  <c r="E20" i="5" s="1"/>
  <c r="H25" i="5"/>
  <c r="H20" i="5" s="1"/>
  <c r="F34" i="5" l="1"/>
  <c r="H34" i="5"/>
  <c r="E34" i="5"/>
  <c r="G25" i="5"/>
  <c r="G20" i="5" s="1"/>
  <c r="G3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Brabenec</author>
  </authors>
  <commentList>
    <comment ref="A48" authorId="0" shapeId="0" xr:uid="{B95A3BEF-79DF-9C4C-A8BC-CCEEC53248AF}">
      <text>
        <r>
          <rPr>
            <b/>
            <sz val="10"/>
            <color rgb="FF000000"/>
            <rFont val="Tahoma"/>
            <family val="2"/>
            <charset val="238"/>
          </rPr>
          <t>Tomáš Brabenec: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Arial"/>
            <family val="2"/>
          </rPr>
          <t>Při agregování se obvykle dopouštíme značného zjednodušování. Některé položky "ostatních" výnosů mohou patřit mezi ty položky, které by měly ovlivnovat ukazatele EBITDA.</t>
        </r>
      </text>
    </comment>
    <comment ref="A49" authorId="0" shapeId="0" xr:uid="{6180F89D-0ED6-1840-9378-4A0466DFC207}">
      <text>
        <r>
          <rPr>
            <b/>
            <sz val="10"/>
            <color rgb="FF000000"/>
            <rFont val="Tahoma"/>
            <family val="2"/>
            <charset val="238"/>
          </rPr>
          <t>Tomáš Brabenec: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>Při agregování se obvykle dopouštíme značného zjednodušování. Některé položky "ostatních" nákladů mohou patřit mezi ty položky, které by měly ovlivnovat ukazatele EBITDA, resp. mohou být nepeněžními náklady - např. změna stavu rezerv, opravné položky v provozní oblasti aj.</t>
        </r>
      </text>
    </comment>
  </commentList>
</comments>
</file>

<file path=xl/sharedStrings.xml><?xml version="1.0" encoding="utf-8"?>
<sst xmlns="http://schemas.openxmlformats.org/spreadsheetml/2006/main" count="48" uniqueCount="47">
  <si>
    <t>Aktiva celkem</t>
  </si>
  <si>
    <t>Odpisy (Odp)</t>
  </si>
  <si>
    <r>
      <t xml:space="preserve">AGREGOVANÁ ROZVAHA (tis. Kč) </t>
    </r>
    <r>
      <rPr>
        <b/>
        <sz val="11"/>
        <color rgb="FFC00000"/>
        <rFont val="Trebuchet MS"/>
        <family val="2"/>
      </rPr>
      <t>ALZA a.s.</t>
    </r>
  </si>
  <si>
    <r>
      <t xml:space="preserve">AGREGOVANÝ VÝKAZ ZISKU A ZTRÁTY (tis.Kč) </t>
    </r>
    <r>
      <rPr>
        <b/>
        <sz val="11"/>
        <color theme="5" tint="-0.249977111117893"/>
        <rFont val="Trebuchet MS"/>
        <family val="2"/>
      </rPr>
      <t>ALZA a.s.</t>
    </r>
  </si>
  <si>
    <t>Ostatní finanční náklady</t>
  </si>
  <si>
    <t>Ostatní finanční výnosy</t>
  </si>
  <si>
    <t>Výnosy z dl. fin. majetku</t>
  </si>
  <si>
    <t>Nákladové úroky</t>
  </si>
  <si>
    <t>Rezervy</t>
  </si>
  <si>
    <t>Krátkodobé závazky</t>
  </si>
  <si>
    <t>Pasiva celkem</t>
  </si>
  <si>
    <t>Náklady vynaložené na prodané zboží</t>
  </si>
  <si>
    <t>Tŕžby za prodané zboží</t>
  </si>
  <si>
    <t xml:space="preserve"> z toho materiál</t>
  </si>
  <si>
    <t xml:space="preserve"> z toho zboží</t>
  </si>
  <si>
    <t>Tržby z prodeje vlastních výrobků a služeb ("výkony")</t>
  </si>
  <si>
    <t>Výsledek hospodaření po zdanění ("český" zisk po zdanění)</t>
  </si>
  <si>
    <t>Výsledek hospodaření před zdaněním ("český" zisk před zdaněním)</t>
  </si>
  <si>
    <t>Provozní výsledek hospodaření ("český" zisk před úroky a zdaněním)</t>
  </si>
  <si>
    <t>Krátkodobý finanční majetek a peněžní prostředky</t>
  </si>
  <si>
    <t>Dlouhodobý nehmotný majetek</t>
  </si>
  <si>
    <t>Dlouhodobý hmotný majetek</t>
  </si>
  <si>
    <t>Dlouhodobý finanční majetek</t>
  </si>
  <si>
    <t>Dlouhodobé pohledávky</t>
  </si>
  <si>
    <t>Krátkodobé pohledávky</t>
  </si>
  <si>
    <t>Dlouhodobý majetek</t>
  </si>
  <si>
    <t>Oběžná aktiva</t>
  </si>
  <si>
    <t>Zásoby</t>
  </si>
  <si>
    <t xml:space="preserve"> z toho ostatní zásoby</t>
  </si>
  <si>
    <t>Vlastní kapitál</t>
  </si>
  <si>
    <t>Časové rozlíšení</t>
  </si>
  <si>
    <t xml:space="preserve"> z toho dlouhodobé závazky k úvěrovým institucím</t>
  </si>
  <si>
    <t xml:space="preserve"> z toho ostatní dlouhodobé závazky</t>
  </si>
  <si>
    <t>Cizí zdroje</t>
  </si>
  <si>
    <t>Dlouhodobé závazky</t>
  </si>
  <si>
    <t>Bankovní úvěry krátkodobé</t>
  </si>
  <si>
    <t>Základní kapitál</t>
  </si>
  <si>
    <t>Kapitálové fondy</t>
  </si>
  <si>
    <t>Rezervní fondy, nedělitelný fond a ostatní fondy ze zisku</t>
  </si>
  <si>
    <t>Výsledek hospodaření minulých let</t>
  </si>
  <si>
    <t>Výsledek hospodaření běžného účetního obodobí</t>
  </si>
  <si>
    <t>Výkonová spotřeba bez nákladů na prodané zboží</t>
  </si>
  <si>
    <t>Osobní náklady</t>
  </si>
  <si>
    <t>Ostatní provozní náklady</t>
  </si>
  <si>
    <t>Aktivace (-)</t>
  </si>
  <si>
    <t xml:space="preserve">Ostatní provozní výnosy </t>
  </si>
  <si>
    <t>Daň z príjmu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</si>
</sst>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1"/>
      <name val="Trebuchet MS"/>
      <family val="2"/>
    </font>
    <font>
      <b/>
      <sz val="11"/>
      <color rgb="FFC00000"/>
      <name val="Trebuchet MS"/>
      <family val="2"/>
    </font>
    <font>
      <sz val="11"/>
      <name val="Trebuchet MS"/>
      <family val="2"/>
    </font>
    <font>
      <b/>
      <sz val="11"/>
      <color theme="0"/>
      <name val="Trebuchet MS"/>
      <family val="2"/>
    </font>
    <font>
      <b/>
      <sz val="11"/>
      <color theme="5" tint="-0.249977111117893"/>
      <name val="Trebuchet MS"/>
      <family val="2"/>
    </font>
    <font>
      <b/>
      <sz val="11"/>
      <color rgb="FF7030A0"/>
      <name val="Trebuchet MS"/>
      <family val="2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Arial"/>
      <family val="2"/>
    </font>
    <font>
      <sz val="9"/>
      <name val="Trebuchet MS"/>
      <family val="2"/>
    </font>
    <font>
      <b/>
      <sz val="9"/>
      <color theme="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7" tint="-0.24994659260841701"/>
      </left>
      <right style="thin">
        <color theme="0"/>
      </right>
      <top style="thick">
        <color theme="7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7" tint="-0.24994659260841701"/>
      </top>
      <bottom style="thin">
        <color theme="0"/>
      </bottom>
      <diagonal/>
    </border>
    <border>
      <left style="thick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7" tint="-0.24994659260841701"/>
      </left>
      <right style="thin">
        <color theme="0"/>
      </right>
      <top style="thin">
        <color theme="0"/>
      </top>
      <bottom style="thick">
        <color theme="7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7" tint="-0.24994659260841701"/>
      </bottom>
      <diagonal/>
    </border>
    <border>
      <left style="thick">
        <color theme="7" tint="-0.24994659260841701"/>
      </left>
      <right/>
      <top/>
      <bottom style="thick">
        <color theme="7" tint="-0.24994659260841701"/>
      </bottom>
      <diagonal/>
    </border>
    <border>
      <left/>
      <right/>
      <top/>
      <bottom style="thick">
        <color theme="7" tint="-0.24994659260841701"/>
      </bottom>
      <diagonal/>
    </border>
    <border>
      <left style="thick">
        <color theme="7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7" tint="-0.24994659260841701"/>
      </left>
      <right/>
      <top style="thick">
        <color theme="7" tint="-0.24994659260841701"/>
      </top>
      <bottom style="thick">
        <color theme="7" tint="-0.24994659260841701"/>
      </bottom>
      <diagonal/>
    </border>
    <border>
      <left/>
      <right/>
      <top style="thick">
        <color theme="7" tint="-0.24994659260841701"/>
      </top>
      <bottom style="thick">
        <color theme="7" tint="-0.24994659260841701"/>
      </bottom>
      <diagonal/>
    </border>
    <border>
      <left style="thick">
        <color theme="7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0" xfId="0" applyFont="1" applyFill="1"/>
    <xf numFmtId="0" fontId="1" fillId="2" borderId="0" xfId="0" applyFont="1" applyFill="1"/>
    <xf numFmtId="3" fontId="3" fillId="2" borderId="0" xfId="0" applyNumberFormat="1" applyFont="1" applyFill="1"/>
    <xf numFmtId="0" fontId="1" fillId="2" borderId="0" xfId="0" applyFont="1" applyFill="1" applyAlignment="1">
      <alignment horizontal="center"/>
    </xf>
    <xf numFmtId="3" fontId="3" fillId="3" borderId="4" xfId="0" applyNumberFormat="1" applyFont="1" applyFill="1" applyBorder="1"/>
    <xf numFmtId="0" fontId="3" fillId="3" borderId="5" xfId="0" applyFont="1" applyFill="1" applyBorder="1"/>
    <xf numFmtId="3" fontId="3" fillId="3" borderId="2" xfId="0" applyNumberFormat="1" applyFont="1" applyFill="1" applyBorder="1"/>
    <xf numFmtId="0" fontId="3" fillId="2" borderId="0" xfId="0" applyFont="1" applyFill="1" applyAlignment="1">
      <alignment horizontal="center"/>
    </xf>
    <xf numFmtId="0" fontId="4" fillId="4" borderId="3" xfId="0" applyFont="1" applyFill="1" applyBorder="1"/>
    <xf numFmtId="3" fontId="4" fillId="4" borderId="4" xfId="0" applyNumberFormat="1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0" fontId="6" fillId="2" borderId="0" xfId="0" applyFont="1" applyFill="1"/>
    <xf numFmtId="3" fontId="6" fillId="2" borderId="0" xfId="0" applyNumberFormat="1" applyFont="1" applyFill="1"/>
    <xf numFmtId="0" fontId="6" fillId="2" borderId="12" xfId="0" applyFont="1" applyFill="1" applyBorder="1"/>
    <xf numFmtId="3" fontId="6" fillId="2" borderId="13" xfId="0" applyNumberFormat="1" applyFont="1" applyFill="1" applyBorder="1"/>
    <xf numFmtId="0" fontId="4" fillId="4" borderId="10" xfId="0" applyFont="1" applyFill="1" applyBorder="1"/>
    <xf numFmtId="3" fontId="4" fillId="4" borderId="11" xfId="0" applyNumberFormat="1" applyFont="1" applyFill="1" applyBorder="1"/>
    <xf numFmtId="3" fontId="3" fillId="3" borderId="15" xfId="0" applyNumberFormat="1" applyFont="1" applyFill="1" applyBorder="1"/>
    <xf numFmtId="3" fontId="4" fillId="4" borderId="2" xfId="0" applyNumberFormat="1" applyFont="1" applyFill="1" applyBorder="1"/>
    <xf numFmtId="3" fontId="4" fillId="4" borderId="7" xfId="0" applyNumberFormat="1" applyFont="1" applyFill="1" applyBorder="1"/>
    <xf numFmtId="3" fontId="0" fillId="0" borderId="0" xfId="0" applyNumberFormat="1"/>
    <xf numFmtId="0" fontId="3" fillId="5" borderId="5" xfId="0" applyFont="1" applyFill="1" applyBorder="1"/>
    <xf numFmtId="3" fontId="3" fillId="5" borderId="2" xfId="0" applyNumberFormat="1" applyFont="1" applyFill="1" applyBorder="1"/>
    <xf numFmtId="0" fontId="3" fillId="5" borderId="10" xfId="0" applyFont="1" applyFill="1" applyBorder="1"/>
    <xf numFmtId="4" fontId="10" fillId="5" borderId="11" xfId="0" applyNumberFormat="1" applyFont="1" applyFill="1" applyBorder="1"/>
    <xf numFmtId="0" fontId="3" fillId="3" borderId="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16" xfId="0" applyFont="1" applyFill="1" applyBorder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showGridLines="0" tabSelected="1" topLeftCell="A22" zoomScale="120" zoomScaleNormal="120" workbookViewId="0">
      <selection activeCell="A57" sqref="A57"/>
    </sheetView>
  </sheetViews>
  <sheetFormatPr baseColWidth="10" defaultColWidth="8.83203125" defaultRowHeight="13" outlineLevelRow="1" outlineLevelCol="1" x14ac:dyDescent="0.15"/>
  <cols>
    <col min="1" max="1" width="61" customWidth="1"/>
    <col min="2" max="6" width="14.5" customWidth="1"/>
    <col min="7" max="8" width="14.5" customWidth="1" outlineLevel="1"/>
  </cols>
  <sheetData>
    <row r="1" spans="1:8" ht="15" thickBot="1" x14ac:dyDescent="0.2">
      <c r="A1" s="35" t="s">
        <v>2</v>
      </c>
      <c r="B1" s="35"/>
      <c r="C1" s="35"/>
      <c r="D1" s="35"/>
      <c r="E1" s="35"/>
      <c r="F1" s="35"/>
      <c r="G1" s="35"/>
      <c r="H1" s="35"/>
    </row>
    <row r="2" spans="1:8" ht="15" thickTop="1" x14ac:dyDescent="0.15">
      <c r="A2" s="1"/>
      <c r="B2" s="34">
        <v>2022</v>
      </c>
      <c r="C2" s="34">
        <v>2021</v>
      </c>
      <c r="D2" s="34">
        <v>2020</v>
      </c>
      <c r="E2" s="34">
        <v>2019</v>
      </c>
      <c r="F2" s="34">
        <v>2018</v>
      </c>
      <c r="G2" s="36">
        <v>2017</v>
      </c>
      <c r="H2" s="36">
        <v>2016</v>
      </c>
    </row>
    <row r="3" spans="1:8" x14ac:dyDescent="0.15">
      <c r="B3" s="34"/>
      <c r="C3" s="34"/>
      <c r="D3" s="34"/>
      <c r="E3" s="34">
        <v>2019</v>
      </c>
      <c r="F3" s="34"/>
      <c r="G3" s="36"/>
      <c r="H3" s="36"/>
    </row>
    <row r="4" spans="1:8" ht="15" thickBot="1" x14ac:dyDescent="0.2">
      <c r="A4" s="1"/>
      <c r="B4" s="1"/>
      <c r="C4" s="1"/>
      <c r="D4" s="1"/>
      <c r="E4" s="1"/>
      <c r="F4" s="1"/>
      <c r="G4" s="3"/>
      <c r="H4" s="3"/>
    </row>
    <row r="5" spans="1:8" ht="18" customHeight="1" thickTop="1" x14ac:dyDescent="0.15">
      <c r="A5" s="9" t="s">
        <v>25</v>
      </c>
      <c r="B5" s="10">
        <f t="shared" ref="B5:C5" si="0">B6+B7+B8</f>
        <v>4858938</v>
      </c>
      <c r="C5" s="10">
        <f t="shared" si="0"/>
        <v>4610882</v>
      </c>
      <c r="D5" s="10">
        <f>D6+D7+D8</f>
        <v>650579</v>
      </c>
      <c r="E5" s="10">
        <f>E6+E7+E8</f>
        <v>367062</v>
      </c>
      <c r="F5" s="10">
        <f>F6+F7+F8</f>
        <v>274237</v>
      </c>
      <c r="G5" s="10">
        <f>G6+G7+G8</f>
        <v>233994</v>
      </c>
      <c r="H5" s="10">
        <f>+H6+H7+H8</f>
        <v>214146</v>
      </c>
    </row>
    <row r="6" spans="1:8" ht="18" customHeight="1" x14ac:dyDescent="0.15">
      <c r="A6" s="6" t="s">
        <v>20</v>
      </c>
      <c r="B6" s="7">
        <v>3236503</v>
      </c>
      <c r="C6" s="7">
        <v>3611048</v>
      </c>
      <c r="D6" s="7">
        <v>187303</v>
      </c>
      <c r="E6" s="7">
        <v>108474</v>
      </c>
      <c r="F6" s="7">
        <v>81914</v>
      </c>
      <c r="G6" s="7">
        <v>75141</v>
      </c>
      <c r="H6" s="7">
        <v>54488</v>
      </c>
    </row>
    <row r="7" spans="1:8" ht="18" customHeight="1" x14ac:dyDescent="0.15">
      <c r="A7" s="6" t="s">
        <v>21</v>
      </c>
      <c r="B7" s="7">
        <v>1614736</v>
      </c>
      <c r="C7" s="7">
        <v>991488</v>
      </c>
      <c r="D7" s="7">
        <v>455442</v>
      </c>
      <c r="E7" s="7">
        <v>250514</v>
      </c>
      <c r="F7" s="7">
        <v>183956</v>
      </c>
      <c r="G7" s="7">
        <v>156904</v>
      </c>
      <c r="H7" s="7">
        <v>158541</v>
      </c>
    </row>
    <row r="8" spans="1:8" ht="18" customHeight="1" thickBot="1" x14ac:dyDescent="0.2">
      <c r="A8" s="6" t="s">
        <v>22</v>
      </c>
      <c r="B8" s="7">
        <v>7699</v>
      </c>
      <c r="C8" s="7">
        <v>8346</v>
      </c>
      <c r="D8" s="7">
        <v>7834</v>
      </c>
      <c r="E8" s="7">
        <v>8074</v>
      </c>
      <c r="F8" s="7">
        <v>8367</v>
      </c>
      <c r="G8" s="7">
        <v>1949</v>
      </c>
      <c r="H8" s="7">
        <v>1117</v>
      </c>
    </row>
    <row r="9" spans="1:8" ht="18" customHeight="1" thickTop="1" x14ac:dyDescent="0.15">
      <c r="A9" s="9" t="s">
        <v>26</v>
      </c>
      <c r="B9" s="10">
        <f t="shared" ref="B9:C9" si="1">B10+B14+B15+B16</f>
        <v>8211943</v>
      </c>
      <c r="C9" s="10">
        <f t="shared" si="1"/>
        <v>11354061</v>
      </c>
      <c r="D9" s="10">
        <f>D10+D14+D15+D16</f>
        <v>8968904</v>
      </c>
      <c r="E9" s="10">
        <f>E10+E14+E15+E16</f>
        <v>7187284</v>
      </c>
      <c r="F9" s="10">
        <f>F10+F14+F15+F16</f>
        <v>6192363</v>
      </c>
      <c r="G9" s="10">
        <f>G10+G14+G15+G16</f>
        <v>4925644</v>
      </c>
      <c r="H9" s="10">
        <v>4029998</v>
      </c>
    </row>
    <row r="10" spans="1:8" ht="18" customHeight="1" x14ac:dyDescent="0.15">
      <c r="A10" s="6" t="s">
        <v>27</v>
      </c>
      <c r="B10" s="7">
        <v>4509840</v>
      </c>
      <c r="C10" s="7">
        <v>7422379</v>
      </c>
      <c r="D10" s="7">
        <v>5453219</v>
      </c>
      <c r="E10" s="7">
        <v>4464476</v>
      </c>
      <c r="F10" s="7">
        <v>3293168</v>
      </c>
      <c r="G10" s="7">
        <v>3174299</v>
      </c>
      <c r="H10" s="7">
        <f>H9-H14-H15-H16</f>
        <v>2720638</v>
      </c>
    </row>
    <row r="11" spans="1:8" ht="18" customHeight="1" outlineLevel="1" x14ac:dyDescent="0.15">
      <c r="A11" s="23" t="s">
        <v>13</v>
      </c>
      <c r="B11" s="24">
        <v>240667</v>
      </c>
      <c r="C11" s="24">
        <v>102963</v>
      </c>
      <c r="D11" s="24">
        <v>13338</v>
      </c>
      <c r="E11" s="24">
        <v>16885</v>
      </c>
      <c r="F11" s="24">
        <v>10117</v>
      </c>
      <c r="G11" s="24">
        <v>9993</v>
      </c>
      <c r="H11" s="24">
        <v>3929</v>
      </c>
    </row>
    <row r="12" spans="1:8" ht="18" customHeight="1" outlineLevel="1" x14ac:dyDescent="0.15">
      <c r="A12" s="23" t="s">
        <v>14</v>
      </c>
      <c r="B12" s="24">
        <v>4041632</v>
      </c>
      <c r="C12" s="24">
        <v>6894098</v>
      </c>
      <c r="D12" s="24">
        <v>5140519</v>
      </c>
      <c r="E12" s="24">
        <v>4347308</v>
      </c>
      <c r="F12" s="24">
        <v>3283051</v>
      </c>
      <c r="G12" s="24">
        <v>3164097</v>
      </c>
      <c r="H12" s="24">
        <v>2716709</v>
      </c>
    </row>
    <row r="13" spans="1:8" ht="18" customHeight="1" outlineLevel="1" x14ac:dyDescent="0.15">
      <c r="A13" s="23" t="s">
        <v>28</v>
      </c>
      <c r="B13" s="24">
        <f>B10-B11-B12</f>
        <v>227541</v>
      </c>
      <c r="C13" s="24">
        <f t="shared" ref="C13:H13" si="2">C10-C11-C12</f>
        <v>425318</v>
      </c>
      <c r="D13" s="24">
        <f t="shared" si="2"/>
        <v>299362</v>
      </c>
      <c r="E13" s="24">
        <f t="shared" si="2"/>
        <v>100283</v>
      </c>
      <c r="F13" s="24">
        <f t="shared" si="2"/>
        <v>0</v>
      </c>
      <c r="G13" s="24">
        <f t="shared" si="2"/>
        <v>209</v>
      </c>
      <c r="H13" s="24">
        <f t="shared" si="2"/>
        <v>0</v>
      </c>
    </row>
    <row r="14" spans="1:8" ht="18" customHeight="1" x14ac:dyDescent="0.15">
      <c r="A14" s="6" t="s">
        <v>23</v>
      </c>
      <c r="B14" s="7">
        <v>45869</v>
      </c>
      <c r="C14" s="7">
        <v>26390</v>
      </c>
      <c r="D14" s="7">
        <v>24318</v>
      </c>
      <c r="E14" s="7">
        <v>20313</v>
      </c>
      <c r="F14" s="7">
        <v>18389</v>
      </c>
      <c r="G14" s="7">
        <v>8854</v>
      </c>
      <c r="H14" s="7">
        <v>0</v>
      </c>
    </row>
    <row r="15" spans="1:8" ht="18" customHeight="1" x14ac:dyDescent="0.15">
      <c r="A15" s="6" t="s">
        <v>24</v>
      </c>
      <c r="B15" s="7">
        <v>3049329</v>
      </c>
      <c r="C15" s="7">
        <v>3153553</v>
      </c>
      <c r="D15" s="7">
        <v>2483680</v>
      </c>
      <c r="E15" s="7">
        <v>1852945</v>
      </c>
      <c r="F15" s="7">
        <v>1691263</v>
      </c>
      <c r="G15" s="7">
        <f>1404718-8854</f>
        <v>1395864</v>
      </c>
      <c r="H15" s="7">
        <v>1006275</v>
      </c>
    </row>
    <row r="16" spans="1:8" ht="18" customHeight="1" x14ac:dyDescent="0.15">
      <c r="A16" s="6" t="s">
        <v>19</v>
      </c>
      <c r="B16" s="7">
        <v>606905</v>
      </c>
      <c r="C16" s="7">
        <v>751739</v>
      </c>
      <c r="D16" s="7">
        <v>1007687</v>
      </c>
      <c r="E16" s="7">
        <v>849550</v>
      </c>
      <c r="F16" s="7">
        <v>1189543</v>
      </c>
      <c r="G16" s="7">
        <v>346627</v>
      </c>
      <c r="H16" s="7">
        <v>303085</v>
      </c>
    </row>
    <row r="17" spans="1:8" ht="18" customHeight="1" thickBot="1" x14ac:dyDescent="0.2">
      <c r="A17" s="17" t="s">
        <v>30</v>
      </c>
      <c r="B17" s="33">
        <v>590933</v>
      </c>
      <c r="C17" s="33">
        <v>368875</v>
      </c>
      <c r="D17" s="18">
        <v>169233</v>
      </c>
      <c r="E17" s="18">
        <v>168837</v>
      </c>
      <c r="F17" s="18">
        <v>349490</v>
      </c>
      <c r="G17" s="18">
        <v>226263</v>
      </c>
      <c r="H17" s="18">
        <v>152318</v>
      </c>
    </row>
    <row r="18" spans="1:8" ht="18" customHeight="1" thickTop="1" thickBot="1" x14ac:dyDescent="0.2">
      <c r="A18" s="15" t="s">
        <v>0</v>
      </c>
      <c r="B18" s="16">
        <f>B17+B9+B5</f>
        <v>13661814</v>
      </c>
      <c r="C18" s="16">
        <f>C17+C9+C5</f>
        <v>16333818</v>
      </c>
      <c r="D18" s="16">
        <f>D17+D9+D5</f>
        <v>9788716</v>
      </c>
      <c r="E18" s="16">
        <f>E17+E9+E5</f>
        <v>7723183</v>
      </c>
      <c r="F18" s="16">
        <f>F5+F9+F17</f>
        <v>6816090</v>
      </c>
      <c r="G18" s="16">
        <f>G5+G9+G17</f>
        <v>5385901</v>
      </c>
      <c r="H18" s="16">
        <f>H5+H9+H17</f>
        <v>4396462</v>
      </c>
    </row>
    <row r="19" spans="1:8" ht="18" customHeight="1" thickTop="1" thickBot="1" x14ac:dyDescent="0.2">
      <c r="A19" s="1"/>
      <c r="B19" s="1"/>
      <c r="C19" s="1"/>
      <c r="D19" s="1"/>
      <c r="E19" s="1"/>
      <c r="F19" s="1"/>
      <c r="G19" s="1"/>
      <c r="H19" s="1"/>
    </row>
    <row r="20" spans="1:8" ht="18" customHeight="1" thickTop="1" x14ac:dyDescent="0.15">
      <c r="A20" s="9" t="s">
        <v>29</v>
      </c>
      <c r="B20" s="10">
        <f t="shared" ref="B20:C20" si="3">B21+B22+B23+B24+B25</f>
        <v>3204930</v>
      </c>
      <c r="C20" s="10">
        <f t="shared" si="3"/>
        <v>2551285</v>
      </c>
      <c r="D20" s="10">
        <f>D21+D22+D23+D24+D25</f>
        <v>2195148</v>
      </c>
      <c r="E20" s="10">
        <f>E21+E22+E23+E24+E25</f>
        <v>1110219</v>
      </c>
      <c r="F20" s="10">
        <f>F21+F22+F23+F24+F25</f>
        <v>1024078</v>
      </c>
      <c r="G20" s="10">
        <f>G21+G22+G23+G24+G25</f>
        <v>864088</v>
      </c>
      <c r="H20" s="10">
        <f>+H21+H22+H24+H25+H23</f>
        <v>699721</v>
      </c>
    </row>
    <row r="21" spans="1:8" ht="18" customHeight="1" x14ac:dyDescent="0.15">
      <c r="A21" s="6" t="s">
        <v>36</v>
      </c>
      <c r="B21" s="7">
        <v>2000</v>
      </c>
      <c r="C21" s="7">
        <v>2000</v>
      </c>
      <c r="D21" s="7">
        <v>2000</v>
      </c>
      <c r="E21" s="7">
        <v>2000</v>
      </c>
      <c r="F21" s="7">
        <v>2000</v>
      </c>
      <c r="G21" s="7">
        <v>2000</v>
      </c>
      <c r="H21" s="7">
        <v>2000</v>
      </c>
    </row>
    <row r="22" spans="1:8" ht="18" customHeight="1" x14ac:dyDescent="0.15">
      <c r="A22" s="6" t="s">
        <v>37</v>
      </c>
      <c r="B22" s="7">
        <v>-1955</v>
      </c>
      <c r="C22" s="7">
        <v>-1308</v>
      </c>
      <c r="D22" s="7">
        <v>-820</v>
      </c>
      <c r="E22" s="7">
        <v>-480</v>
      </c>
      <c r="F22" s="7">
        <v>-187</v>
      </c>
      <c r="G22" s="7">
        <v>-93</v>
      </c>
      <c r="H22" s="7">
        <v>21</v>
      </c>
    </row>
    <row r="23" spans="1:8" ht="18" customHeight="1" x14ac:dyDescent="0.15">
      <c r="A23" s="6" t="s">
        <v>38</v>
      </c>
      <c r="B23" s="7">
        <v>400</v>
      </c>
      <c r="C23" s="7">
        <v>400</v>
      </c>
      <c r="D23" s="7">
        <v>400</v>
      </c>
      <c r="E23" s="7">
        <v>400</v>
      </c>
      <c r="F23" s="7">
        <v>400</v>
      </c>
      <c r="G23" s="7">
        <v>400</v>
      </c>
      <c r="H23" s="7">
        <v>400</v>
      </c>
    </row>
    <row r="24" spans="1:8" ht="18" customHeight="1" x14ac:dyDescent="0.15">
      <c r="A24" s="6" t="s">
        <v>39</v>
      </c>
      <c r="B24" s="7">
        <v>2550193</v>
      </c>
      <c r="C24" s="7">
        <v>53283</v>
      </c>
      <c r="D24" s="7">
        <v>53283</v>
      </c>
      <c r="E24" s="7">
        <v>53283</v>
      </c>
      <c r="F24" s="7">
        <v>53283</v>
      </c>
      <c r="G24" s="7">
        <v>53283</v>
      </c>
      <c r="H24" s="7">
        <v>53284</v>
      </c>
    </row>
    <row r="25" spans="1:8" ht="18" customHeight="1" thickBot="1" x14ac:dyDescent="0.2">
      <c r="A25" s="6" t="s">
        <v>40</v>
      </c>
      <c r="B25" s="7">
        <v>654292</v>
      </c>
      <c r="C25" s="7">
        <v>2496910</v>
      </c>
      <c r="D25" s="7">
        <f t="shared" ref="D25:H25" si="4">D57</f>
        <v>2140285</v>
      </c>
      <c r="E25" s="7">
        <f t="shared" si="4"/>
        <v>1055016</v>
      </c>
      <c r="F25" s="7">
        <f t="shared" si="4"/>
        <v>968582</v>
      </c>
      <c r="G25" s="7">
        <f t="shared" si="4"/>
        <v>808498</v>
      </c>
      <c r="H25" s="7">
        <f t="shared" si="4"/>
        <v>644016</v>
      </c>
    </row>
    <row r="26" spans="1:8" ht="18" customHeight="1" thickTop="1" x14ac:dyDescent="0.15">
      <c r="A26" s="9" t="s">
        <v>33</v>
      </c>
      <c r="B26" s="10">
        <f t="shared" ref="B26:G26" si="5">B27+B28+B31</f>
        <v>9952866</v>
      </c>
      <c r="C26" s="10">
        <f t="shared" si="5"/>
        <v>13117550</v>
      </c>
      <c r="D26" s="10">
        <f t="shared" si="5"/>
        <v>7065960</v>
      </c>
      <c r="E26" s="10">
        <f t="shared" si="5"/>
        <v>6194036</v>
      </c>
      <c r="F26" s="10">
        <f t="shared" si="5"/>
        <v>5474514</v>
      </c>
      <c r="G26" s="10">
        <f t="shared" si="5"/>
        <v>4283073</v>
      </c>
      <c r="H26" s="10">
        <f>H27+H28+H31</f>
        <v>3434425</v>
      </c>
    </row>
    <row r="27" spans="1:8" ht="18" customHeight="1" x14ac:dyDescent="0.15">
      <c r="A27" s="6" t="s">
        <v>8</v>
      </c>
      <c r="B27" s="7">
        <v>15412</v>
      </c>
      <c r="C27" s="7">
        <v>30243</v>
      </c>
      <c r="D27" s="7">
        <v>27500</v>
      </c>
      <c r="E27" s="7">
        <v>28500</v>
      </c>
      <c r="F27" s="7">
        <v>4500</v>
      </c>
      <c r="G27" s="7">
        <v>12465</v>
      </c>
      <c r="H27" s="7">
        <v>17477</v>
      </c>
    </row>
    <row r="28" spans="1:8" ht="18" customHeight="1" x14ac:dyDescent="0.15">
      <c r="A28" s="6" t="s">
        <v>34</v>
      </c>
      <c r="B28" s="7">
        <v>2473108</v>
      </c>
      <c r="C28" s="7">
        <v>2571252</v>
      </c>
      <c r="D28" s="7">
        <v>0</v>
      </c>
      <c r="E28" s="7">
        <v>0</v>
      </c>
      <c r="F28" s="7">
        <v>0</v>
      </c>
      <c r="G28" s="7">
        <v>308370</v>
      </c>
      <c r="H28" s="7">
        <v>65267</v>
      </c>
    </row>
    <row r="29" spans="1:8" ht="18" customHeight="1" outlineLevel="1" x14ac:dyDescent="0.15">
      <c r="A29" s="25" t="s">
        <v>31</v>
      </c>
      <c r="B29" s="26">
        <v>1960000</v>
      </c>
      <c r="C29" s="26">
        <v>2520000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1:8" ht="18" customHeight="1" outlineLevel="1" x14ac:dyDescent="0.15">
      <c r="A30" s="25" t="s">
        <v>32</v>
      </c>
      <c r="B30" s="26">
        <f>B28-B29</f>
        <v>513108</v>
      </c>
      <c r="C30" s="26">
        <f t="shared" ref="C30:H30" si="6">C28-C29</f>
        <v>51252</v>
      </c>
      <c r="D30" s="26">
        <f t="shared" si="6"/>
        <v>0</v>
      </c>
      <c r="E30" s="26">
        <f t="shared" si="6"/>
        <v>0</v>
      </c>
      <c r="F30" s="26">
        <f t="shared" si="6"/>
        <v>0</v>
      </c>
      <c r="G30" s="26">
        <f t="shared" si="6"/>
        <v>308370</v>
      </c>
      <c r="H30" s="26">
        <f t="shared" si="6"/>
        <v>65267</v>
      </c>
    </row>
    <row r="31" spans="1:8" ht="18" customHeight="1" x14ac:dyDescent="0.15">
      <c r="A31" s="6" t="s">
        <v>9</v>
      </c>
      <c r="B31" s="7">
        <v>7464346</v>
      </c>
      <c r="C31" s="7">
        <v>10516055</v>
      </c>
      <c r="D31" s="7">
        <v>7038460</v>
      </c>
      <c r="E31" s="7">
        <v>6165536</v>
      </c>
      <c r="F31" s="7">
        <v>5470014</v>
      </c>
      <c r="G31" s="7">
        <v>3962238</v>
      </c>
      <c r="H31" s="7">
        <v>3351681</v>
      </c>
    </row>
    <row r="32" spans="1:8" ht="18" hidden="1" customHeight="1" outlineLevel="1" x14ac:dyDescent="0.15">
      <c r="A32" s="25" t="s">
        <v>35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1:8" ht="18" customHeight="1" collapsed="1" x14ac:dyDescent="0.15">
      <c r="A33" s="17" t="s">
        <v>30</v>
      </c>
      <c r="B33" s="18">
        <v>504018</v>
      </c>
      <c r="C33" s="18">
        <v>664983</v>
      </c>
      <c r="D33" s="18">
        <v>527608</v>
      </c>
      <c r="E33" s="18">
        <v>418928</v>
      </c>
      <c r="F33" s="18">
        <v>317498</v>
      </c>
      <c r="G33" s="18">
        <v>238740</v>
      </c>
      <c r="H33" s="18">
        <v>262316</v>
      </c>
    </row>
    <row r="34" spans="1:8" ht="18" customHeight="1" thickBot="1" x14ac:dyDescent="0.2">
      <c r="A34" s="11" t="s">
        <v>10</v>
      </c>
      <c r="B34" s="12">
        <f t="shared" ref="B34:C34" si="7">B20+B26+B33</f>
        <v>13661814</v>
      </c>
      <c r="C34" s="12">
        <f t="shared" si="7"/>
        <v>16333818</v>
      </c>
      <c r="D34" s="12">
        <f>D20+D26+D33</f>
        <v>9788716</v>
      </c>
      <c r="E34" s="12">
        <f>E20+E26+E33</f>
        <v>7723183</v>
      </c>
      <c r="F34" s="12">
        <f>F20+F26+F33</f>
        <v>6816090</v>
      </c>
      <c r="G34" s="12">
        <f>G33+G26+G20</f>
        <v>5385901</v>
      </c>
      <c r="H34" s="12">
        <f>H33+H26+H20</f>
        <v>4396462</v>
      </c>
    </row>
    <row r="35" spans="1:8" ht="15" thickTop="1" x14ac:dyDescent="0.15">
      <c r="A35" s="13"/>
      <c r="B35" s="13"/>
      <c r="C35" s="13"/>
      <c r="D35" s="13"/>
      <c r="E35" s="13"/>
      <c r="F35" s="14"/>
      <c r="G35" s="14"/>
      <c r="H35" s="14"/>
    </row>
    <row r="36" spans="1:8" ht="15" thickBot="1" x14ac:dyDescent="0.2">
      <c r="A36" s="35" t="s">
        <v>3</v>
      </c>
      <c r="B36" s="35"/>
      <c r="C36" s="35"/>
      <c r="D36" s="35"/>
      <c r="E36" s="35"/>
      <c r="F36" s="35"/>
      <c r="G36" s="35"/>
      <c r="H36" s="35"/>
    </row>
    <row r="37" spans="1:8" ht="15" thickTop="1" x14ac:dyDescent="0.15">
      <c r="A37" s="2"/>
      <c r="B37" s="2"/>
      <c r="C37" s="2"/>
      <c r="D37" s="2"/>
      <c r="E37" s="2"/>
      <c r="F37" s="2"/>
      <c r="G37" s="2"/>
      <c r="H37" s="2"/>
    </row>
    <row r="38" spans="1:8" ht="14" x14ac:dyDescent="0.15">
      <c r="A38" s="2"/>
      <c r="B38" s="34">
        <v>2022</v>
      </c>
      <c r="C38" s="34">
        <v>2021</v>
      </c>
      <c r="D38" s="34">
        <v>2020</v>
      </c>
      <c r="E38" s="34">
        <v>2019</v>
      </c>
      <c r="F38" s="34">
        <v>2018</v>
      </c>
      <c r="G38" s="34">
        <v>2017</v>
      </c>
      <c r="H38" s="34">
        <v>2016</v>
      </c>
    </row>
    <row r="39" spans="1:8" ht="14" x14ac:dyDescent="0.15">
      <c r="A39" s="2"/>
      <c r="B39" s="34"/>
      <c r="C39" s="34"/>
      <c r="D39" s="34"/>
      <c r="E39" s="34"/>
      <c r="F39" s="34"/>
      <c r="G39" s="34">
        <v>2017</v>
      </c>
      <c r="H39" s="34">
        <v>2016</v>
      </c>
    </row>
    <row r="40" spans="1:8" ht="15" thickBot="1" x14ac:dyDescent="0.2">
      <c r="A40" s="8"/>
      <c r="B40" s="8"/>
      <c r="C40" s="8"/>
      <c r="D40" s="8"/>
      <c r="E40" s="8"/>
      <c r="F40" s="8"/>
      <c r="G40" s="4"/>
      <c r="H40" s="4"/>
    </row>
    <row r="41" spans="1:8" ht="23" customHeight="1" thickTop="1" x14ac:dyDescent="0.15">
      <c r="A41" s="27" t="s">
        <v>12</v>
      </c>
      <c r="B41" s="5">
        <v>38660831</v>
      </c>
      <c r="C41" s="5">
        <v>42375790</v>
      </c>
      <c r="D41" s="5">
        <v>35293531</v>
      </c>
      <c r="E41" s="5">
        <v>27564288</v>
      </c>
      <c r="F41" s="5">
        <v>23518340</v>
      </c>
      <c r="G41" s="5">
        <v>19848199</v>
      </c>
      <c r="H41" s="5">
        <v>16640473</v>
      </c>
    </row>
    <row r="42" spans="1:8" ht="23" customHeight="1" x14ac:dyDescent="0.15">
      <c r="A42" s="28" t="s">
        <v>11</v>
      </c>
      <c r="B42" s="19">
        <v>33137128</v>
      </c>
      <c r="C42" s="19">
        <v>35172427</v>
      </c>
      <c r="D42" s="19">
        <v>29300746</v>
      </c>
      <c r="E42" s="19">
        <v>23493842</v>
      </c>
      <c r="F42" s="19">
        <v>20221583</v>
      </c>
      <c r="G42" s="19">
        <v>17217333</v>
      </c>
      <c r="H42" s="19">
        <v>14556885</v>
      </c>
    </row>
    <row r="43" spans="1:8" ht="23" customHeight="1" x14ac:dyDescent="0.15">
      <c r="A43" s="28" t="s">
        <v>15</v>
      </c>
      <c r="B43" s="19">
        <v>2331322</v>
      </c>
      <c r="C43" s="19">
        <v>2619378</v>
      </c>
      <c r="D43" s="19">
        <v>2103612</v>
      </c>
      <c r="E43" s="19">
        <f>1601047</f>
        <v>1601047</v>
      </c>
      <c r="F43" s="19">
        <v>1391819</v>
      </c>
      <c r="G43" s="19">
        <v>1105744</v>
      </c>
      <c r="H43" s="19">
        <v>728334</v>
      </c>
    </row>
    <row r="44" spans="1:8" ht="23" customHeight="1" x14ac:dyDescent="0.15">
      <c r="A44" s="29" t="s">
        <v>41</v>
      </c>
      <c r="B44" s="7">
        <f>37471977-B42</f>
        <v>4334849</v>
      </c>
      <c r="C44" s="7">
        <f>39855081-C42</f>
        <v>4682654</v>
      </c>
      <c r="D44" s="7">
        <f>33368091-D42</f>
        <v>4067345</v>
      </c>
      <c r="E44" s="7">
        <f>233085+3186104</f>
        <v>3419189</v>
      </c>
      <c r="F44" s="7">
        <f>22823513-F42</f>
        <v>2601930</v>
      </c>
      <c r="G44" s="7">
        <f>19298463-G42+31116</f>
        <v>2112246</v>
      </c>
      <c r="H44" s="7">
        <f>16167572-H42+17027</f>
        <v>1627714</v>
      </c>
    </row>
    <row r="45" spans="1:8" ht="23" customHeight="1" x14ac:dyDescent="0.15">
      <c r="A45" s="29" t="s">
        <v>44</v>
      </c>
      <c r="B45" s="7">
        <v>-61749</v>
      </c>
      <c r="C45" s="7">
        <v>-24182</v>
      </c>
      <c r="D45" s="7">
        <v>-7737</v>
      </c>
      <c r="E45" s="7">
        <v>-28795</v>
      </c>
      <c r="F45" s="7">
        <v>-34010</v>
      </c>
      <c r="G45" s="7">
        <v>-31116</v>
      </c>
      <c r="H45" s="7">
        <v>-17027</v>
      </c>
    </row>
    <row r="46" spans="1:8" ht="23" customHeight="1" x14ac:dyDescent="0.15">
      <c r="A46" s="29" t="s">
        <v>42</v>
      </c>
      <c r="B46" s="7">
        <v>2044580</v>
      </c>
      <c r="C46" s="7">
        <v>1645319</v>
      </c>
      <c r="D46" s="7">
        <v>1254826</v>
      </c>
      <c r="E46" s="7">
        <v>901629</v>
      </c>
      <c r="F46" s="7">
        <v>746855</v>
      </c>
      <c r="G46" s="7">
        <v>572526</v>
      </c>
      <c r="H46" s="7">
        <v>417418</v>
      </c>
    </row>
    <row r="47" spans="1:8" ht="23" customHeight="1" x14ac:dyDescent="0.15">
      <c r="A47" s="29" t="s">
        <v>1</v>
      </c>
      <c r="B47" s="7">
        <v>755292</v>
      </c>
      <c r="C47" s="7">
        <v>443210</v>
      </c>
      <c r="D47" s="7">
        <v>132826</v>
      </c>
      <c r="E47" s="7">
        <v>153190</v>
      </c>
      <c r="F47" s="7">
        <v>179822</v>
      </c>
      <c r="G47" s="7">
        <v>132039</v>
      </c>
      <c r="H47" s="7">
        <v>40428</v>
      </c>
    </row>
    <row r="48" spans="1:8" ht="23" customHeight="1" x14ac:dyDescent="0.15">
      <c r="A48" s="29" t="s">
        <v>45</v>
      </c>
      <c r="B48" s="7">
        <v>370189</v>
      </c>
      <c r="C48" s="7">
        <v>388314</v>
      </c>
      <c r="D48" s="7">
        <v>346046</v>
      </c>
      <c r="E48" s="7">
        <v>317003</v>
      </c>
      <c r="F48" s="7">
        <v>261599</v>
      </c>
      <c r="G48" s="7">
        <v>213494</v>
      </c>
      <c r="H48" s="7">
        <v>185750</v>
      </c>
    </row>
    <row r="49" spans="1:9" ht="23" customHeight="1" x14ac:dyDescent="0.15">
      <c r="A49" s="29" t="s">
        <v>43</v>
      </c>
      <c r="B49" s="7">
        <v>232238</v>
      </c>
      <c r="C49" s="7">
        <v>199197</v>
      </c>
      <c r="D49" s="7">
        <v>192542</v>
      </c>
      <c r="E49" s="7">
        <f>129151</f>
        <v>129151</v>
      </c>
      <c r="F49" s="7">
        <v>144109</v>
      </c>
      <c r="G49" s="7">
        <f>137022-31116</f>
        <v>105906</v>
      </c>
      <c r="H49" s="7">
        <f>93660-17027</f>
        <v>76633</v>
      </c>
    </row>
    <row r="50" spans="1:9" ht="23" customHeight="1" x14ac:dyDescent="0.15">
      <c r="A50" s="30" t="s">
        <v>18</v>
      </c>
      <c r="B50" s="20">
        <f>B41-B42+B43-B44-B46-B47+B48-B49-B45</f>
        <v>920004</v>
      </c>
      <c r="C50" s="20">
        <f>C41-C42+C43-C44-C46-C47+C48-C49-C45</f>
        <v>3264857</v>
      </c>
      <c r="D50" s="20">
        <f t="shared" ref="D50:H50" si="8">D41-D42+D43-D44-D46-D47+D48-D49-D45</f>
        <v>2802641</v>
      </c>
      <c r="E50" s="20">
        <f t="shared" si="8"/>
        <v>1414132</v>
      </c>
      <c r="F50" s="20">
        <f t="shared" si="8"/>
        <v>1311469</v>
      </c>
      <c r="G50" s="20">
        <f t="shared" si="8"/>
        <v>1058503</v>
      </c>
      <c r="H50" s="20">
        <f t="shared" si="8"/>
        <v>852506</v>
      </c>
      <c r="I50" s="22"/>
    </row>
    <row r="51" spans="1:9" ht="23" customHeight="1" x14ac:dyDescent="0.15">
      <c r="A51" s="29" t="s">
        <v>6</v>
      </c>
      <c r="B51" s="7">
        <f>73763+262625</f>
        <v>336388</v>
      </c>
      <c r="C51" s="7">
        <f>53471+170160</f>
        <v>223631</v>
      </c>
      <c r="D51" s="7">
        <f>58810+159677</f>
        <v>218487</v>
      </c>
      <c r="E51" s="7">
        <f>40000+44746</f>
        <v>84746</v>
      </c>
      <c r="F51" s="7">
        <v>20273</v>
      </c>
      <c r="G51" s="7">
        <v>12959</v>
      </c>
      <c r="H51" s="7">
        <v>11910</v>
      </c>
    </row>
    <row r="52" spans="1:9" ht="23" customHeight="1" x14ac:dyDescent="0.15">
      <c r="A52" s="29" t="s">
        <v>7</v>
      </c>
      <c r="B52" s="7">
        <v>323867</v>
      </c>
      <c r="C52" s="7">
        <v>85810</v>
      </c>
      <c r="D52" s="7">
        <v>38550</v>
      </c>
      <c r="E52" s="7">
        <v>16457</v>
      </c>
      <c r="F52" s="7">
        <v>30758</v>
      </c>
      <c r="G52" s="7">
        <v>25455</v>
      </c>
      <c r="H52" s="7">
        <v>10142</v>
      </c>
    </row>
    <row r="53" spans="1:9" ht="23" customHeight="1" x14ac:dyDescent="0.15">
      <c r="A53" s="29" t="s">
        <v>4</v>
      </c>
      <c r="B53" s="7">
        <f>683808+79985</f>
        <v>763793</v>
      </c>
      <c r="C53" s="7">
        <f>513245+59585</f>
        <v>572830</v>
      </c>
      <c r="D53" s="7">
        <f>477647+163153</f>
        <v>640800</v>
      </c>
      <c r="E53" s="7">
        <f>212092+27501</f>
        <v>239593</v>
      </c>
      <c r="F53" s="7">
        <f>7142+165705</f>
        <v>172847</v>
      </c>
      <c r="G53" s="7">
        <v>132526</v>
      </c>
      <c r="H53" s="7">
        <v>84598</v>
      </c>
    </row>
    <row r="54" spans="1:9" ht="23" customHeight="1" x14ac:dyDescent="0.15">
      <c r="A54" s="29" t="s">
        <v>5</v>
      </c>
      <c r="B54" s="7">
        <f>445531+159644</f>
        <v>605175</v>
      </c>
      <c r="C54" s="7">
        <f>235565+26377</f>
        <v>261942</v>
      </c>
      <c r="D54" s="7">
        <f>291297+95</f>
        <v>291392</v>
      </c>
      <c r="E54" s="7">
        <f>76861+448</f>
        <v>77309</v>
      </c>
      <c r="F54" s="7">
        <f>4393+180+61414</f>
        <v>65987</v>
      </c>
      <c r="G54" s="7">
        <f>76082+140</f>
        <v>76222</v>
      </c>
      <c r="H54" s="7">
        <f>20476+266</f>
        <v>20742</v>
      </c>
    </row>
    <row r="55" spans="1:9" ht="23" customHeight="1" x14ac:dyDescent="0.15">
      <c r="A55" s="31" t="s">
        <v>17</v>
      </c>
      <c r="B55" s="20">
        <f t="shared" ref="B55:H55" si="9">B50+B51-B52-B53+B54</f>
        <v>773907</v>
      </c>
      <c r="C55" s="20">
        <f>C50+C51-C52-C53+C54</f>
        <v>3091790</v>
      </c>
      <c r="D55" s="20">
        <f t="shared" si="9"/>
        <v>2633170</v>
      </c>
      <c r="E55" s="20">
        <f t="shared" si="9"/>
        <v>1320137</v>
      </c>
      <c r="F55" s="20">
        <f t="shared" si="9"/>
        <v>1194124</v>
      </c>
      <c r="G55" s="20">
        <f t="shared" si="9"/>
        <v>989703</v>
      </c>
      <c r="H55" s="20">
        <f t="shared" si="9"/>
        <v>790418</v>
      </c>
    </row>
    <row r="56" spans="1:9" ht="23" customHeight="1" x14ac:dyDescent="0.15">
      <c r="A56" s="29" t="s">
        <v>46</v>
      </c>
      <c r="B56" s="7">
        <v>119615</v>
      </c>
      <c r="C56" s="7">
        <v>594880</v>
      </c>
      <c r="D56" s="7">
        <v>492885</v>
      </c>
      <c r="E56" s="7">
        <v>265121</v>
      </c>
      <c r="F56" s="7">
        <v>225542</v>
      </c>
      <c r="G56" s="7">
        <v>181205</v>
      </c>
      <c r="H56" s="7">
        <v>146402</v>
      </c>
    </row>
    <row r="57" spans="1:9" ht="23" customHeight="1" thickBot="1" x14ac:dyDescent="0.2">
      <c r="A57" s="32" t="s">
        <v>16</v>
      </c>
      <c r="B57" s="21">
        <f t="shared" ref="B57:H57" si="10">B55-B56</f>
        <v>654292</v>
      </c>
      <c r="C57" s="21">
        <f t="shared" si="10"/>
        <v>2496910</v>
      </c>
      <c r="D57" s="21">
        <f t="shared" si="10"/>
        <v>2140285</v>
      </c>
      <c r="E57" s="21">
        <f t="shared" si="10"/>
        <v>1055016</v>
      </c>
      <c r="F57" s="21">
        <f t="shared" si="10"/>
        <v>968582</v>
      </c>
      <c r="G57" s="21">
        <f t="shared" si="10"/>
        <v>808498</v>
      </c>
      <c r="H57" s="21">
        <f t="shared" si="10"/>
        <v>644016</v>
      </c>
    </row>
    <row r="58" spans="1:9" ht="14" thickTop="1" x14ac:dyDescent="0.15"/>
  </sheetData>
  <mergeCells count="16">
    <mergeCell ref="H38:H39"/>
    <mergeCell ref="D38:D39"/>
    <mergeCell ref="A1:H1"/>
    <mergeCell ref="A36:H36"/>
    <mergeCell ref="F2:F3"/>
    <mergeCell ref="G2:G3"/>
    <mergeCell ref="H2:H3"/>
    <mergeCell ref="E2:E3"/>
    <mergeCell ref="D2:D3"/>
    <mergeCell ref="E38:E39"/>
    <mergeCell ref="F38:F39"/>
    <mergeCell ref="G38:G39"/>
    <mergeCell ref="C2:C3"/>
    <mergeCell ref="B2:B3"/>
    <mergeCell ref="C38:C39"/>
    <mergeCell ref="B38:B39"/>
  </mergeCells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9C70D5E8EE41A8311A48836DF8AB" ma:contentTypeVersion="26" ma:contentTypeDescription="Vytvoří nový dokument" ma:contentTypeScope="" ma:versionID="9f091c20a0f3d98cae09c0eab12bcd71">
  <xsd:schema xmlns:xsd="http://www.w3.org/2001/XMLSchema" xmlns:xs="http://www.w3.org/2001/XMLSchema" xmlns:p="http://schemas.microsoft.com/office/2006/metadata/properties" xmlns:ns3="1ebffdde-c38d-4769-b644-3ecf950884bb" xmlns:ns4="c2e4995d-dd35-4fda-86cd-348d58949098" targetNamespace="http://schemas.microsoft.com/office/2006/metadata/properties" ma:root="true" ma:fieldsID="59fa2a209df6c6e7d9ad1ab874db22b5" ns3:_="" ns4:_="">
    <xsd:import namespace="1ebffdde-c38d-4769-b644-3ecf950884bb"/>
    <xsd:import namespace="c2e4995d-dd35-4fda-86cd-348d589490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Math_Settings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Distribution_Groups" minOccurs="0"/>
                <xsd:element ref="ns4:LMS_Mapping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ffdde-c38d-4769-b644-3ecf950884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4995d-dd35-4fda-86cd-348d58949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9" nillable="true" ma:displayName="Math Settings" ma:internalName="Math_Settings">
      <xsd:simpleType>
        <xsd:restriction base="dms:Text"/>
      </xsd:simpleType>
    </xsd:element>
    <xsd:element name="DefaultSectionNames" ma:index="20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1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2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3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4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9" nillable="true" ma:displayName="Is Collaboration Space Locked" ma:internalName="Is_Collaboration_Space_Locked">
      <xsd:simpleType>
        <xsd:restriction base="dms:Boolean"/>
      </xsd:simpleType>
    </xsd:element>
    <xsd:element name="IsNotebookLocked" ma:index="30" nillable="true" ma:displayName="Is Notebook Locked" ma:internalName="IsNotebookLocked">
      <xsd:simpleType>
        <xsd:restriction base="dms:Boolean"/>
      </xsd:simpleType>
    </xsd:element>
    <xsd:element name="Distribution_Groups" ma:index="31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2" nillable="true" ma:displayName="LMS Mappings" ma:internalName="LMS_Mappings">
      <xsd:simpleType>
        <xsd:restriction base="dms:Note">
          <xsd:maxLength value="255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f_Registration_Enabled xmlns="c2e4995d-dd35-4fda-86cd-348d58949098" xsi:nil="true"/>
    <TeamsChannelId xmlns="c2e4995d-dd35-4fda-86cd-348d58949098" xsi:nil="true"/>
    <IsNotebookLocked xmlns="c2e4995d-dd35-4fda-86cd-348d58949098" xsi:nil="true"/>
    <FolderType xmlns="c2e4995d-dd35-4fda-86cd-348d58949098" xsi:nil="true"/>
    <Distribution_Groups xmlns="c2e4995d-dd35-4fda-86cd-348d58949098" xsi:nil="true"/>
    <NotebookType xmlns="c2e4995d-dd35-4fda-86cd-348d58949098" xsi:nil="true"/>
    <Students xmlns="c2e4995d-dd35-4fda-86cd-348d58949098">
      <UserInfo>
        <DisplayName/>
        <AccountId xsi:nil="true"/>
        <AccountType/>
      </UserInfo>
    </Students>
    <Student_Groups xmlns="c2e4995d-dd35-4fda-86cd-348d58949098">
      <UserInfo>
        <DisplayName/>
        <AccountId xsi:nil="true"/>
        <AccountType/>
      </UserInfo>
    </Student_Groups>
    <Invited_Teachers xmlns="c2e4995d-dd35-4fda-86cd-348d58949098" xsi:nil="true"/>
    <Invited_Students xmlns="c2e4995d-dd35-4fda-86cd-348d58949098" xsi:nil="true"/>
    <LMS_Mappings xmlns="c2e4995d-dd35-4fda-86cd-348d58949098" xsi:nil="true"/>
    <Has_Teacher_Only_SectionGroup xmlns="c2e4995d-dd35-4fda-86cd-348d58949098" xsi:nil="true"/>
    <CultureName xmlns="c2e4995d-dd35-4fda-86cd-348d58949098" xsi:nil="true"/>
    <Owner xmlns="c2e4995d-dd35-4fda-86cd-348d58949098">
      <UserInfo>
        <DisplayName/>
        <AccountId xsi:nil="true"/>
        <AccountType/>
      </UserInfo>
    </Owner>
    <AppVersion xmlns="c2e4995d-dd35-4fda-86cd-348d58949098" xsi:nil="true"/>
    <DefaultSectionNames xmlns="c2e4995d-dd35-4fda-86cd-348d58949098" xsi:nil="true"/>
    <Is_Collaboration_Space_Locked xmlns="c2e4995d-dd35-4fda-86cd-348d58949098" xsi:nil="true"/>
    <Math_Settings xmlns="c2e4995d-dd35-4fda-86cd-348d58949098" xsi:nil="true"/>
    <Templates xmlns="c2e4995d-dd35-4fda-86cd-348d58949098" xsi:nil="true"/>
    <Teachers xmlns="c2e4995d-dd35-4fda-86cd-348d58949098">
      <UserInfo>
        <DisplayName/>
        <AccountId xsi:nil="true"/>
        <AccountType/>
      </UserInfo>
    </Teachers>
  </documentManagement>
</p:properties>
</file>

<file path=customXml/itemProps1.xml><?xml version="1.0" encoding="utf-8"?>
<ds:datastoreItem xmlns:ds="http://schemas.openxmlformats.org/officeDocument/2006/customXml" ds:itemID="{A900D610-5694-463A-8065-3F3D4CFCD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bffdde-c38d-4769-b644-3ecf950884bb"/>
    <ds:schemaRef ds:uri="c2e4995d-dd35-4fda-86cd-348d58949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009F4E-F380-41A0-B222-E3DBEB5FBA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402CB1-BDDE-4101-8005-753D452EFF2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c2e4995d-dd35-4fda-86cd-348d58949098"/>
    <ds:schemaRef ds:uri="http://purl.org/dc/dcmitype/"/>
    <ds:schemaRef ds:uri="http://schemas.openxmlformats.org/package/2006/metadata/core-properties"/>
    <ds:schemaRef ds:uri="1ebffdde-c38d-4769-b644-3ecf950884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ALZA.cz_data 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Brabenec</dc:creator>
  <cp:lastModifiedBy>Tomáš Brabenec</cp:lastModifiedBy>
  <dcterms:created xsi:type="dcterms:W3CDTF">2019-02-13T09:54:55Z</dcterms:created>
  <dcterms:modified xsi:type="dcterms:W3CDTF">2024-03-05T10:00:55Z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0x0101005A819C70D5E8EE41A8311A48836DF8AB</vt:lpwstr>
  </property>
</Properties>
</file>