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e-my.sharepoint.com/personal/brabenet_vse_cz/Documents/1FP303_FINANCNI ANALYZA/CVICENI/3_cviceni/"/>
    </mc:Choice>
  </mc:AlternateContent>
  <xr:revisionPtr revIDLastSave="6" documentId="13_ncr:1_{DAEDC492-AF9C-1E45-86FA-6046A6D2279C}" xr6:coauthVersionLast="47" xr6:coauthVersionMax="47" xr10:uidLastSave="{93A9B04E-2488-4644-A9FC-A3C0D0475AD1}"/>
  <bookViews>
    <workbookView xWindow="4280" yWindow="500" windowWidth="31560" windowHeight="19980" activeTab="4" xr2:uid="{57897514-F3E6-224A-9DA9-64595A75EC7C}"/>
  </bookViews>
  <sheets>
    <sheet name="123budovy a.s._zadani" sheetId="1" r:id="rId1"/>
    <sheet name="123budovy a.s._reseni" sheetId="2" r:id="rId2"/>
    <sheet name="zyxWerke_zadani" sheetId="4" r:id="rId3"/>
    <sheet name="zyxWerke_reseni" sheetId="3" r:id="rId4"/>
    <sheet name="NakupniVozik a.s." sheetId="5" r:id="rId5"/>
    <sheet name="NakupniVozik_reseni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6" l="1"/>
  <c r="T25" i="3"/>
  <c r="G56" i="3" s="1"/>
  <c r="B23" i="2"/>
  <c r="B45" i="5"/>
  <c r="B42" i="6"/>
  <c r="B38" i="6"/>
  <c r="C20" i="6"/>
  <c r="B20" i="6"/>
  <c r="G18" i="6"/>
  <c r="F18" i="6"/>
  <c r="C17" i="6"/>
  <c r="B17" i="6"/>
  <c r="B27" i="6" s="1"/>
  <c r="C13" i="6"/>
  <c r="C10" i="6" s="1"/>
  <c r="B13" i="6"/>
  <c r="G12" i="6"/>
  <c r="F12" i="6"/>
  <c r="B10" i="6"/>
  <c r="B41" i="6" s="1"/>
  <c r="G8" i="6"/>
  <c r="F8" i="6"/>
  <c r="B29" i="6" s="1"/>
  <c r="C8" i="6"/>
  <c r="B8" i="6"/>
  <c r="B7" i="6" s="1"/>
  <c r="G6" i="6"/>
  <c r="F6" i="6"/>
  <c r="C5" i="6"/>
  <c r="B5" i="6"/>
  <c r="G4" i="6"/>
  <c r="F4" i="6"/>
  <c r="C4" i="6"/>
  <c r="B4" i="6"/>
  <c r="B38" i="5"/>
  <c r="C5" i="5"/>
  <c r="C4" i="5" s="1"/>
  <c r="B5" i="5"/>
  <c r="B4" i="5" s="1"/>
  <c r="C8" i="5"/>
  <c r="B8" i="5"/>
  <c r="C13" i="5"/>
  <c r="C10" i="5" s="1"/>
  <c r="B13" i="5"/>
  <c r="B10" i="5" s="1"/>
  <c r="C17" i="5"/>
  <c r="B17" i="5"/>
  <c r="C20" i="5"/>
  <c r="B20" i="5"/>
  <c r="F12" i="5"/>
  <c r="F8" i="5" s="1"/>
  <c r="G18" i="5"/>
  <c r="F18" i="5"/>
  <c r="G6" i="5"/>
  <c r="F6" i="5"/>
  <c r="F4" i="5" s="1"/>
  <c r="G4" i="5"/>
  <c r="G12" i="5"/>
  <c r="G8" i="5" s="1"/>
  <c r="T11" i="4"/>
  <c r="T16" i="4"/>
  <c r="C17" i="4"/>
  <c r="D61" i="4"/>
  <c r="A44" i="4"/>
  <c r="A43" i="4"/>
  <c r="A42" i="4"/>
  <c r="G18" i="4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S17" i="4"/>
  <c r="S18" i="4" s="1"/>
  <c r="S19" i="4" s="1"/>
  <c r="S20" i="4" s="1"/>
  <c r="S21" i="4" s="1"/>
  <c r="T17" i="4"/>
  <c r="T18" i="4" s="1"/>
  <c r="T19" i="4" s="1"/>
  <c r="N8" i="4"/>
  <c r="I17" i="4"/>
  <c r="B58" i="3"/>
  <c r="B56" i="3"/>
  <c r="B55" i="3"/>
  <c r="B54" i="3"/>
  <c r="D60" i="3" s="1"/>
  <c r="T11" i="3"/>
  <c r="T16" i="3"/>
  <c r="T17" i="3" s="1"/>
  <c r="T18" i="3" s="1"/>
  <c r="T19" i="3" s="1"/>
  <c r="T20" i="3" s="1"/>
  <c r="T21" i="3" s="1"/>
  <c r="S17" i="3"/>
  <c r="S18" i="3" s="1"/>
  <c r="S19" i="3" s="1"/>
  <c r="S20" i="3" s="1"/>
  <c r="S21" i="3" s="1"/>
  <c r="B44" i="3"/>
  <c r="B43" i="3"/>
  <c r="A43" i="3"/>
  <c r="N8" i="3"/>
  <c r="B13" i="3"/>
  <c r="B42" i="3"/>
  <c r="A42" i="3"/>
  <c r="B41" i="3"/>
  <c r="C41" i="3" s="1"/>
  <c r="D41" i="3" s="1"/>
  <c r="A41" i="3"/>
  <c r="H12" i="3"/>
  <c r="G18" i="3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H13" i="3"/>
  <c r="H8" i="3"/>
  <c r="B12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B8" i="3"/>
  <c r="C17" i="3" s="1"/>
  <c r="J12" i="2"/>
  <c r="D19" i="2" s="1"/>
  <c r="H13" i="2"/>
  <c r="B16" i="2"/>
  <c r="D16" i="2"/>
  <c r="H34" i="2"/>
  <c r="D22" i="2"/>
  <c r="C22" i="2" s="1"/>
  <c r="D20" i="2"/>
  <c r="C20" i="2" s="1"/>
  <c r="D21" i="2"/>
  <c r="C21" i="2" s="1"/>
  <c r="H35" i="2"/>
  <c r="D24" i="2" s="1"/>
  <c r="H32" i="2"/>
  <c r="C10" i="2" s="1"/>
  <c r="D10" i="2" s="1"/>
  <c r="H27" i="2"/>
  <c r="C9" i="2" s="1"/>
  <c r="D9" i="2" s="1"/>
  <c r="H22" i="2"/>
  <c r="C8" i="2" s="1"/>
  <c r="D8" i="2" s="1"/>
  <c r="H17" i="2"/>
  <c r="C7" i="2" s="1"/>
  <c r="D7" i="2" s="1"/>
  <c r="D6" i="2"/>
  <c r="D5" i="2"/>
  <c r="D4" i="2"/>
  <c r="B18" i="2" l="1"/>
  <c r="B19" i="2" s="1"/>
  <c r="C19" i="2" s="1"/>
  <c r="J13" i="2"/>
  <c r="D18" i="2" s="1"/>
  <c r="C44" i="3"/>
  <c r="D44" i="3" s="1"/>
  <c r="B40" i="6"/>
  <c r="B25" i="6"/>
  <c r="B32" i="6" s="1"/>
  <c r="B3" i="6"/>
  <c r="B43" i="6"/>
  <c r="C7" i="6"/>
  <c r="B45" i="6"/>
  <c r="C3" i="6"/>
  <c r="B24" i="6"/>
  <c r="B26" i="6"/>
  <c r="B28" i="6" s="1"/>
  <c r="B30" i="6" s="1"/>
  <c r="B24" i="5"/>
  <c r="C7" i="5"/>
  <c r="C3" i="5"/>
  <c r="B7" i="5"/>
  <c r="B3" i="5"/>
  <c r="B27" i="4"/>
  <c r="T20" i="4"/>
  <c r="T21" i="4" s="1"/>
  <c r="H33" i="4"/>
  <c r="H29" i="4"/>
  <c r="H25" i="4"/>
  <c r="H23" i="4"/>
  <c r="H36" i="4"/>
  <c r="H32" i="4"/>
  <c r="H28" i="4"/>
  <c r="H26" i="4"/>
  <c r="H35" i="4"/>
  <c r="H34" i="4"/>
  <c r="H30" i="4"/>
  <c r="H27" i="4"/>
  <c r="H31" i="4"/>
  <c r="H24" i="4"/>
  <c r="H22" i="4"/>
  <c r="H21" i="4"/>
  <c r="H20" i="4"/>
  <c r="H19" i="4"/>
  <c r="H18" i="4"/>
  <c r="H17" i="4"/>
  <c r="J17" i="4" s="1"/>
  <c r="K17" i="4" s="1"/>
  <c r="B22" i="4"/>
  <c r="D48" i="4"/>
  <c r="G61" i="3"/>
  <c r="I17" i="3"/>
  <c r="C43" i="3"/>
  <c r="D43" i="3" s="1"/>
  <c r="C42" i="3"/>
  <c r="D42" i="3" s="1"/>
  <c r="D47" i="3" s="1"/>
  <c r="H9" i="3"/>
  <c r="B9" i="3"/>
  <c r="B25" i="3" s="1"/>
  <c r="C16" i="2"/>
  <c r="D23" i="2"/>
  <c r="D26" i="2" s="1"/>
  <c r="B24" i="2"/>
  <c r="C24" i="2" s="1"/>
  <c r="D12" i="2"/>
  <c r="B30" i="5" l="1"/>
  <c r="B32" i="5"/>
  <c r="B21" i="4"/>
  <c r="B18" i="4"/>
  <c r="B25" i="4"/>
  <c r="B28" i="4"/>
  <c r="B23" i="4"/>
  <c r="B20" i="4"/>
  <c r="B26" i="4"/>
  <c r="B17" i="4"/>
  <c r="D17" i="4" s="1"/>
  <c r="E17" i="4" s="1"/>
  <c r="C18" i="4" s="1"/>
  <c r="B24" i="4"/>
  <c r="B19" i="4"/>
  <c r="I18" i="4"/>
  <c r="J18" i="4" s="1"/>
  <c r="K18" i="4" s="1"/>
  <c r="G62" i="4"/>
  <c r="H17" i="3"/>
  <c r="J17" i="3" s="1"/>
  <c r="K17" i="3" s="1"/>
  <c r="H21" i="3"/>
  <c r="H25" i="3"/>
  <c r="H29" i="3"/>
  <c r="H33" i="3"/>
  <c r="H30" i="3"/>
  <c r="H20" i="3"/>
  <c r="H36" i="3"/>
  <c r="H18" i="3"/>
  <c r="H22" i="3"/>
  <c r="H26" i="3"/>
  <c r="H34" i="3"/>
  <c r="H19" i="3"/>
  <c r="H23" i="3"/>
  <c r="H27" i="3"/>
  <c r="H31" i="3"/>
  <c r="H35" i="3"/>
  <c r="H28" i="3"/>
  <c r="H24" i="3"/>
  <c r="H32" i="3"/>
  <c r="B20" i="3"/>
  <c r="B23" i="3"/>
  <c r="B27" i="3"/>
  <c r="B17" i="3"/>
  <c r="D17" i="3" s="1"/>
  <c r="E17" i="3" s="1"/>
  <c r="C18" i="3" s="1"/>
  <c r="B19" i="3"/>
  <c r="B21" i="3"/>
  <c r="B18" i="3"/>
  <c r="B22" i="3"/>
  <c r="B28" i="3"/>
  <c r="B24" i="3"/>
  <c r="B26" i="3"/>
  <c r="C23" i="2"/>
  <c r="C18" i="2"/>
  <c r="D18" i="3" l="1"/>
  <c r="E18" i="3" s="1"/>
  <c r="D18" i="4"/>
  <c r="E18" i="4" s="1"/>
  <c r="C19" i="4" s="1"/>
  <c r="D19" i="4" s="1"/>
  <c r="E19" i="4" s="1"/>
  <c r="I19" i="4"/>
  <c r="J19" i="4" s="1"/>
  <c r="K19" i="4" s="1"/>
  <c r="I18" i="3"/>
  <c r="J18" i="3" s="1"/>
  <c r="K18" i="3" s="1"/>
  <c r="I19" i="3" s="1"/>
  <c r="J19" i="3" s="1"/>
  <c r="K19" i="3" s="1"/>
  <c r="I20" i="3" s="1"/>
  <c r="J20" i="3" s="1"/>
  <c r="K20" i="3" s="1"/>
  <c r="C19" i="3"/>
  <c r="D19" i="3" s="1"/>
  <c r="E19" i="3" s="1"/>
  <c r="C20" i="3" s="1"/>
  <c r="D20" i="3" s="1"/>
  <c r="E20" i="3" s="1"/>
  <c r="C21" i="3" s="1"/>
  <c r="D21" i="3" s="1"/>
  <c r="E21" i="3" s="1"/>
  <c r="C22" i="3" s="1"/>
  <c r="D22" i="3" s="1"/>
  <c r="E22" i="3" s="1"/>
  <c r="C20" i="4" l="1"/>
  <c r="D20" i="4" s="1"/>
  <c r="E20" i="4" s="1"/>
  <c r="I20" i="4"/>
  <c r="J20" i="4" s="1"/>
  <c r="K20" i="4" s="1"/>
  <c r="G42" i="3"/>
  <c r="I21" i="3"/>
  <c r="J21" i="3" s="1"/>
  <c r="K21" i="3" s="1"/>
  <c r="I22" i="3" s="1"/>
  <c r="J22" i="3" s="1"/>
  <c r="K22" i="3" s="1"/>
  <c r="I23" i="3" s="1"/>
  <c r="J23" i="3" s="1"/>
  <c r="K23" i="3" s="1"/>
  <c r="C23" i="3"/>
  <c r="D23" i="3" s="1"/>
  <c r="E23" i="3" s="1"/>
  <c r="C21" i="4" l="1"/>
  <c r="D21" i="4" s="1"/>
  <c r="E21" i="4" s="1"/>
  <c r="I21" i="4"/>
  <c r="J21" i="4" s="1"/>
  <c r="K21" i="4" s="1"/>
  <c r="I24" i="3"/>
  <c r="J24" i="3" s="1"/>
  <c r="K24" i="3" s="1"/>
  <c r="C24" i="3"/>
  <c r="D24" i="3" s="1"/>
  <c r="E24" i="3" s="1"/>
  <c r="G41" i="3" s="1"/>
  <c r="G48" i="3" s="1"/>
  <c r="I22" i="4" l="1"/>
  <c r="J22" i="4" s="1"/>
  <c r="K22" i="4" s="1"/>
  <c r="C22" i="4"/>
  <c r="D22" i="4" s="1"/>
  <c r="E22" i="4" s="1"/>
  <c r="I25" i="3"/>
  <c r="J25" i="3" s="1"/>
  <c r="K25" i="3" s="1"/>
  <c r="C25" i="3"/>
  <c r="D25" i="3" s="1"/>
  <c r="E25" i="3" s="1"/>
  <c r="I23" i="4" l="1"/>
  <c r="J23" i="4" s="1"/>
  <c r="K23" i="4" s="1"/>
  <c r="C23" i="4"/>
  <c r="D23" i="4" s="1"/>
  <c r="E23" i="4" s="1"/>
  <c r="I26" i="3"/>
  <c r="J26" i="3" s="1"/>
  <c r="K26" i="3" s="1"/>
  <c r="C26" i="3"/>
  <c r="D26" i="3" s="1"/>
  <c r="E26" i="3" s="1"/>
  <c r="I24" i="4" l="1"/>
  <c r="J24" i="4" s="1"/>
  <c r="K24" i="4" s="1"/>
  <c r="C24" i="4"/>
  <c r="D24" i="4" s="1"/>
  <c r="E24" i="4" s="1"/>
  <c r="I27" i="3"/>
  <c r="J27" i="3" s="1"/>
  <c r="K27" i="3" s="1"/>
  <c r="C27" i="3"/>
  <c r="D27" i="3" s="1"/>
  <c r="E27" i="3" s="1"/>
  <c r="C25" i="4" l="1"/>
  <c r="D25" i="4" s="1"/>
  <c r="E25" i="4" s="1"/>
  <c r="G49" i="4"/>
  <c r="I25" i="4"/>
  <c r="J25" i="4" s="1"/>
  <c r="K25" i="4" s="1"/>
  <c r="I28" i="3"/>
  <c r="J28" i="3" s="1"/>
  <c r="K28" i="3" s="1"/>
  <c r="C28" i="3"/>
  <c r="D28" i="3" s="1"/>
  <c r="E28" i="3" s="1"/>
  <c r="I26" i="4" l="1"/>
  <c r="J26" i="4" s="1"/>
  <c r="K26" i="4" s="1"/>
  <c r="C26" i="4"/>
  <c r="D26" i="4" s="1"/>
  <c r="E26" i="4" s="1"/>
  <c r="I29" i="3"/>
  <c r="J29" i="3" s="1"/>
  <c r="K29" i="3" s="1"/>
  <c r="C27" i="4" l="1"/>
  <c r="D27" i="4" s="1"/>
  <c r="E27" i="4" s="1"/>
  <c r="I27" i="4"/>
  <c r="J27" i="4" s="1"/>
  <c r="K27" i="4" s="1"/>
  <c r="I30" i="3"/>
  <c r="J30" i="3" s="1"/>
  <c r="K30" i="3" s="1"/>
  <c r="C28" i="4" l="1"/>
  <c r="D28" i="4" s="1"/>
  <c r="E28" i="4" s="1"/>
  <c r="I28" i="4"/>
  <c r="J28" i="4" s="1"/>
  <c r="K28" i="4" s="1"/>
  <c r="I31" i="3"/>
  <c r="J31" i="3" s="1"/>
  <c r="K31" i="3" s="1"/>
  <c r="I29" i="4" l="1"/>
  <c r="J29" i="4" s="1"/>
  <c r="K29" i="4" s="1"/>
  <c r="I32" i="3"/>
  <c r="J32" i="3" s="1"/>
  <c r="K32" i="3" s="1"/>
  <c r="I30" i="4" l="1"/>
  <c r="J30" i="4" s="1"/>
  <c r="K30" i="4" s="1"/>
  <c r="I33" i="3"/>
  <c r="J33" i="3" s="1"/>
  <c r="K33" i="3" s="1"/>
  <c r="I34" i="3" s="1"/>
  <c r="J34" i="3" s="1"/>
  <c r="K34" i="3" s="1"/>
  <c r="I35" i="3" s="1"/>
  <c r="J35" i="3" s="1"/>
  <c r="K35" i="3" s="1"/>
  <c r="I36" i="3" s="1"/>
  <c r="J36" i="3" s="1"/>
  <c r="K36" i="3" s="1"/>
  <c r="I31" i="4" l="1"/>
  <c r="J31" i="4" s="1"/>
  <c r="K31" i="4" s="1"/>
  <c r="I32" i="4" l="1"/>
  <c r="J32" i="4" s="1"/>
  <c r="K32" i="4" s="1"/>
  <c r="I33" i="4" l="1"/>
  <c r="J33" i="4" s="1"/>
  <c r="K33" i="4" s="1"/>
  <c r="I34" i="4" l="1"/>
  <c r="J34" i="4" s="1"/>
  <c r="K34" i="4" s="1"/>
  <c r="I35" i="4" l="1"/>
  <c r="J35" i="4" s="1"/>
  <c r="K35" i="4" s="1"/>
  <c r="I36" i="4" l="1"/>
  <c r="J36" i="4" s="1"/>
  <c r="K36" i="4" s="1"/>
</calcChain>
</file>

<file path=xl/sharedStrings.xml><?xml version="1.0" encoding="utf-8"?>
<sst xmlns="http://schemas.openxmlformats.org/spreadsheetml/2006/main" count="398" uniqueCount="145">
  <si>
    <t>Aktiva společnost 123 budovy a.s.* ke konci aktuálního účetního období (v tis. Kč)</t>
  </si>
  <si>
    <t>Aktiva</t>
  </si>
  <si>
    <t>Pořizovací cena</t>
  </si>
  <si>
    <t>Zemědělské pozemky - Střední Čechy</t>
  </si>
  <si>
    <t xml:space="preserve">Zemědělské pozemky - Jižní Čechy </t>
  </si>
  <si>
    <t>Zamědělské pozemky - Karlovarský kraj</t>
  </si>
  <si>
    <t>Kancelářské budovy - Praha</t>
  </si>
  <si>
    <t xml:space="preserve">Kancelářské budovy - Plzeň </t>
  </si>
  <si>
    <t>Bytový dům - Karviná</t>
  </si>
  <si>
    <t>Bytový dům - Brno</t>
  </si>
  <si>
    <t>*jen pracovní název pro potřeby výuky</t>
  </si>
  <si>
    <t>Společnost 123 budovy a.s.* vykázala ke konci účetního období (v tis. Kč)</t>
  </si>
  <si>
    <t>Aktiva - účetní pohled</t>
  </si>
  <si>
    <t xml:space="preserve">Brutto </t>
  </si>
  <si>
    <t>Korekce</t>
  </si>
  <si>
    <t>Netto</t>
  </si>
  <si>
    <t>Pozemky - Střední a Jižní Čechy</t>
  </si>
  <si>
    <t>tžní hodnota</t>
  </si>
  <si>
    <t>Pozmeky - Karlovarský kraj</t>
  </si>
  <si>
    <t>Dlouhodobý majetek celkem</t>
  </si>
  <si>
    <t>travní pozemky</t>
  </si>
  <si>
    <t>hodnota (-60 %)</t>
  </si>
  <si>
    <t>hosp. plodiny</t>
  </si>
  <si>
    <t>hodnota</t>
  </si>
  <si>
    <t>Kancelářská budova - Praha</t>
  </si>
  <si>
    <t>Aktiva - ekonomický pohled</t>
  </si>
  <si>
    <t>Ekonomická korekce</t>
  </si>
  <si>
    <t>Ekonomická netto hodnota</t>
  </si>
  <si>
    <t>odpisový plán</t>
  </si>
  <si>
    <t>let</t>
  </si>
  <si>
    <t>doba užívání</t>
  </si>
  <si>
    <t>roky</t>
  </si>
  <si>
    <t>roční odpis</t>
  </si>
  <si>
    <t>Zamědělské pozemky - Karlovarský kraj - hosp. plod.</t>
  </si>
  <si>
    <t>tržní hodnota</t>
  </si>
  <si>
    <t xml:space="preserve">Zamědělské pozemky - Karlovarský kraj - travní </t>
  </si>
  <si>
    <t>Kancelářská budova - Plzeň</t>
  </si>
  <si>
    <t>Bytový dům - Brno: prodané jednotky</t>
  </si>
  <si>
    <t>prodejní cena</t>
  </si>
  <si>
    <t>Bytový dům - Brno: pronajímané jednotky</t>
  </si>
  <si>
    <t>Dlouhodobý investovaný kapitál</t>
  </si>
  <si>
    <t>počet jednotek</t>
  </si>
  <si>
    <t xml:space="preserve">pořízení </t>
  </si>
  <si>
    <t>za jednotku</t>
  </si>
  <si>
    <t>prodej - jednotky</t>
  </si>
  <si>
    <t>prodej</t>
  </si>
  <si>
    <t>informace v tis. Kč, není-li uvedeno jinak</t>
  </si>
  <si>
    <t>Linka Alex</t>
  </si>
  <si>
    <t>Linka Fridurihhi</t>
  </si>
  <si>
    <t>Linka Trudy</t>
  </si>
  <si>
    <t>Délka užívání</t>
  </si>
  <si>
    <t>rovnoměrné odepisování</t>
  </si>
  <si>
    <t>rok</t>
  </si>
  <si>
    <t>Linka Helga</t>
  </si>
  <si>
    <t>Délka očekávaného dalšího užívání</t>
  </si>
  <si>
    <t>Pořizovancí cena</t>
  </si>
  <si>
    <t>Výše úvěru</t>
  </si>
  <si>
    <t>Výše úvěru nominálně</t>
  </si>
  <si>
    <t>počet leasingových splátek (roční)</t>
  </si>
  <si>
    <t>Čtvrtletní splátka - dopočet</t>
  </si>
  <si>
    <t>Čtvrtletní splátka dle smlouvy</t>
  </si>
  <si>
    <t>Akontace na počátku fin. leasingu</t>
  </si>
  <si>
    <t>Fixní úroková sazba dle smlouvy (p.a.)</t>
  </si>
  <si>
    <t>Leasingový koeficient</t>
  </si>
  <si>
    <t>Počet splátek dle smlouvy</t>
  </si>
  <si>
    <t>Leasingová cena</t>
  </si>
  <si>
    <t>((1+i)^n)-1</t>
  </si>
  <si>
    <t>Zůstatková cena linky při konci leasingu</t>
  </si>
  <si>
    <t>i*(1+i)^n</t>
  </si>
  <si>
    <t>Umořovací plán linky Alex</t>
  </si>
  <si>
    <t>Umořovací plán linky Fridurihhi</t>
  </si>
  <si>
    <t>Plán leasingových plateb</t>
  </si>
  <si>
    <t>Platba</t>
  </si>
  <si>
    <t>Konec období (kvartálu)</t>
  </si>
  <si>
    <t>Splátka</t>
  </si>
  <si>
    <t>úrok</t>
  </si>
  <si>
    <t>úmor</t>
  </si>
  <si>
    <t>Zůstatek úvěru</t>
  </si>
  <si>
    <t>Tržní hodnota ke konci aktuálního účetního období</t>
  </si>
  <si>
    <t>"Aktivace finančního leasingu"</t>
  </si>
  <si>
    <t>Tržní cena Helgy k aktuálnímu datu</t>
  </si>
  <si>
    <t>Výše dluhu spojeného s doplacením Helgy</t>
  </si>
  <si>
    <t>v rámci daného prozatím neřešíme úpravy ve výsledovce</t>
  </si>
  <si>
    <t>Účetní pohled na dlouhodobý hmotný majetek a jeho financování ke konci aktuálního účetního období</t>
  </si>
  <si>
    <t>Pasiva - dluhy</t>
  </si>
  <si>
    <t>úvěr linka Alex</t>
  </si>
  <si>
    <t>úvěr linka Fridurihhi</t>
  </si>
  <si>
    <t>Zaplacená akontace - linka Helga</t>
  </si>
  <si>
    <t>Celková dlouhodobá hmotná  aktiva z pohledu účetnictví</t>
  </si>
  <si>
    <t>Celkové dluhy související s dlouhodobými hmotnými aktivy</t>
  </si>
  <si>
    <t>Ekonomický pohled na dlouhodobý hmotný majetek a jeho financování ke konci aktuálního účetního období</t>
  </si>
  <si>
    <t>Tržní hodnota</t>
  </si>
  <si>
    <t xml:space="preserve">dluh z titulu leasingu </t>
  </si>
  <si>
    <r>
      <t xml:space="preserve">Společnost </t>
    </r>
    <r>
      <rPr>
        <sz val="12"/>
        <color rgb="FF7030A0"/>
        <rFont val="Calibri (Základní text)"/>
        <charset val="238"/>
      </rPr>
      <t>NakupniVozik a.s.</t>
    </r>
    <r>
      <rPr>
        <sz val="12"/>
        <color rgb="FF000000"/>
        <rFont val="Calibri"/>
        <family val="2"/>
        <charset val="238"/>
        <scheme val="minor"/>
      </rPr>
      <t xml:space="preserve"> vykázala ke konci aktuálního účetního období (v mil. Kč)</t>
    </r>
  </si>
  <si>
    <t>Běžné</t>
  </si>
  <si>
    <t>Minulé</t>
  </si>
  <si>
    <t>Oběžná aktiva</t>
  </si>
  <si>
    <t>Závazky</t>
  </si>
  <si>
    <t>Zásoby</t>
  </si>
  <si>
    <t>Dlouhodobé závazky</t>
  </si>
  <si>
    <t>Výrobky a zboží</t>
  </si>
  <si>
    <t>Dlouhodobé přijaté zálohy</t>
  </si>
  <si>
    <t>Zboží</t>
  </si>
  <si>
    <t>Závazky - ostatní</t>
  </si>
  <si>
    <t>Pohledávky</t>
  </si>
  <si>
    <t>Jiné závazky</t>
  </si>
  <si>
    <t>Dlouhodobé pohledávky</t>
  </si>
  <si>
    <t>Krátkodobé závazky</t>
  </si>
  <si>
    <t>Odložená daňová pohledávka</t>
  </si>
  <si>
    <t>Krátkodobé přijaté zálohy</t>
  </si>
  <si>
    <t>Krátkodobé pohledávky</t>
  </si>
  <si>
    <t>Závazky z obchodních vztahů</t>
  </si>
  <si>
    <t>Pohledávky z obchodních vztahů</t>
  </si>
  <si>
    <t>Závazky - ovládaná nebo ovládající osoba</t>
  </si>
  <si>
    <t>Pohledávky - ovládaná nebo ovládající osoba</t>
  </si>
  <si>
    <t xml:space="preserve"> Závazky ostatní</t>
  </si>
  <si>
    <t>Pohledávky - ostatní</t>
  </si>
  <si>
    <t>Závazky k zaměstnancům</t>
  </si>
  <si>
    <t>Krátkodobé poskytnuté zálohy</t>
  </si>
  <si>
    <r>
      <t xml:space="preserve"> Závazky ze sociálního zabezpečení </t>
    </r>
    <r>
      <rPr>
        <sz val="10"/>
        <color rgb="FF323232"/>
        <rFont val="Arial"/>
        <family val="2"/>
      </rPr>
      <t xml:space="preserve">a </t>
    </r>
    <r>
      <rPr>
        <sz val="10"/>
        <color rgb="FF0B0B0B"/>
        <rFont val="Arial"/>
        <family val="2"/>
      </rPr>
      <t>zdravotního pojištění</t>
    </r>
  </si>
  <si>
    <t>Dohadné účty aktivní</t>
  </si>
  <si>
    <t>Stát - daňové závazky a dotace</t>
  </si>
  <si>
    <t>Jiné pohledávky</t>
  </si>
  <si>
    <t>Dohadné účty pasivní</t>
  </si>
  <si>
    <t>Peněžní prostředky</t>
  </si>
  <si>
    <t>Peněžní prostředky v pokladně</t>
  </si>
  <si>
    <r>
      <t xml:space="preserve">Časové rozlišení </t>
    </r>
    <r>
      <rPr>
        <b/>
        <sz val="10"/>
        <color rgb="FF323232"/>
        <rFont val="Arial"/>
        <family val="2"/>
      </rPr>
      <t>pasiv</t>
    </r>
  </si>
  <si>
    <t>Peněžní prostředky na účtech</t>
  </si>
  <si>
    <r>
      <t xml:space="preserve">Výdaje </t>
    </r>
    <r>
      <rPr>
        <sz val="10"/>
        <color rgb="FF323232"/>
        <rFont val="Arial"/>
        <family val="2"/>
      </rPr>
      <t xml:space="preserve">příštích </t>
    </r>
    <r>
      <rPr>
        <sz val="10"/>
        <color rgb="FF0B0B0B"/>
        <rFont val="Arial"/>
        <family val="2"/>
      </rPr>
      <t>období</t>
    </r>
  </si>
  <si>
    <t>Časové rozlišení aktiv</t>
  </si>
  <si>
    <t>Výnosy příštích období</t>
  </si>
  <si>
    <t>Náklady příštích období</t>
  </si>
  <si>
    <t>Příjmy příštích období</t>
  </si>
  <si>
    <t>Účetní pohled na výši pracovního kapitálu</t>
  </si>
  <si>
    <t>Krátkodobá aktiva celkem</t>
  </si>
  <si>
    <t>Krátkodobé závazky celkem</t>
  </si>
  <si>
    <t>Pracovní kapitál</t>
  </si>
  <si>
    <t>Ekonomický pohled na výši pracovního kapitálu</t>
  </si>
  <si>
    <t>Zásoby neprodejné</t>
  </si>
  <si>
    <t>Krátkodobé pohledávky - nedobytné</t>
  </si>
  <si>
    <t>Překlasifikace kr. pohl. na dlouhodobé</t>
  </si>
  <si>
    <t>Zápočet kr. závazku a kr. pohl</t>
  </si>
  <si>
    <t>exces cash nad</t>
  </si>
  <si>
    <t>Překlasifikace dl. záv. na kr. závazky</t>
  </si>
  <si>
    <t>Non core "zaměstnanecké kr. závazky"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</si>
</sst>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scheme val="minor"/>
    </font>
    <font>
      <sz val="12"/>
      <color rgb="FF7030A0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 (Základní text)"/>
      <charset val="238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  <font>
      <b/>
      <sz val="12"/>
      <color rgb="FF92D05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sz val="12"/>
      <color theme="9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B0B0B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323232"/>
      <name val="Arial"/>
      <family val="2"/>
    </font>
    <font>
      <sz val="10"/>
      <color rgb="FF0C0C0C"/>
      <name val="Arial"/>
      <family val="2"/>
    </font>
    <font>
      <b/>
      <sz val="10"/>
      <color rgb="FF0B0B0B"/>
      <name val="Arial"/>
      <family val="2"/>
    </font>
    <font>
      <b/>
      <sz val="10"/>
      <color theme="1"/>
      <name val="Arial"/>
      <family val="2"/>
    </font>
    <font>
      <b/>
      <sz val="10"/>
      <color rgb="FF32323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2" borderId="0" xfId="0" applyFill="1"/>
    <xf numFmtId="0" fontId="2" fillId="2" borderId="0" xfId="0" applyFont="1" applyFill="1"/>
    <xf numFmtId="3" fontId="3" fillId="0" borderId="0" xfId="0" applyNumberFormat="1" applyFont="1"/>
    <xf numFmtId="0" fontId="3" fillId="0" borderId="0" xfId="0" applyFont="1"/>
    <xf numFmtId="0" fontId="2" fillId="3" borderId="0" xfId="0" applyFont="1" applyFill="1"/>
    <xf numFmtId="3" fontId="4" fillId="0" borderId="0" xfId="0" applyNumberFormat="1" applyFont="1"/>
    <xf numFmtId="0" fontId="4" fillId="0" borderId="0" xfId="0" applyFont="1"/>
    <xf numFmtId="0" fontId="3" fillId="0" borderId="1" xfId="0" applyFont="1" applyBorder="1"/>
    <xf numFmtId="3" fontId="0" fillId="0" borderId="1" xfId="0" applyNumberFormat="1" applyBorder="1"/>
    <xf numFmtId="3" fontId="3" fillId="0" borderId="1" xfId="0" applyNumberFormat="1" applyFont="1" applyBorder="1"/>
    <xf numFmtId="3" fontId="5" fillId="0" borderId="1" xfId="0" applyNumberFormat="1" applyFont="1" applyBorder="1"/>
    <xf numFmtId="10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3" fontId="2" fillId="4" borderId="0" xfId="0" applyNumberFormat="1" applyFont="1" applyFill="1"/>
    <xf numFmtId="3" fontId="2" fillId="2" borderId="0" xfId="0" applyNumberFormat="1" applyFont="1" applyFill="1"/>
    <xf numFmtId="0" fontId="7" fillId="0" borderId="0" xfId="0" applyFont="1"/>
    <xf numFmtId="0" fontId="9" fillId="0" borderId="2" xfId="0" applyFont="1" applyBorder="1"/>
    <xf numFmtId="0" fontId="8" fillId="0" borderId="2" xfId="0" applyFont="1" applyBorder="1"/>
    <xf numFmtId="0" fontId="10" fillId="0" borderId="0" xfId="0" applyFont="1"/>
    <xf numFmtId="0" fontId="11" fillId="0" borderId="2" xfId="0" applyFont="1" applyBorder="1"/>
    <xf numFmtId="0" fontId="12" fillId="0" borderId="0" xfId="0" applyFont="1"/>
    <xf numFmtId="3" fontId="2" fillId="5" borderId="0" xfId="0" applyNumberFormat="1" applyFont="1" applyFill="1"/>
    <xf numFmtId="0" fontId="0" fillId="5" borderId="0" xfId="0" applyFill="1"/>
    <xf numFmtId="0" fontId="13" fillId="0" borderId="0" xfId="0" applyFont="1"/>
    <xf numFmtId="0" fontId="13" fillId="6" borderId="0" xfId="0" applyFont="1" applyFill="1"/>
    <xf numFmtId="0" fontId="14" fillId="0" borderId="2" xfId="0" applyFont="1" applyBorder="1"/>
    <xf numFmtId="0" fontId="15" fillId="0" borderId="0" xfId="0" applyFont="1"/>
    <xf numFmtId="0" fontId="0" fillId="0" borderId="1" xfId="0" applyBorder="1"/>
    <xf numFmtId="3" fontId="0" fillId="6" borderId="0" xfId="0" applyNumberFormat="1" applyFill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0" fillId="7" borderId="0" xfId="0" applyFont="1" applyFill="1"/>
    <xf numFmtId="0" fontId="18" fillId="8" borderId="0" xfId="0" applyFont="1" applyFill="1"/>
    <xf numFmtId="0" fontId="18" fillId="7" borderId="0" xfId="0" applyFont="1" applyFill="1"/>
    <xf numFmtId="0" fontId="23" fillId="0" borderId="3" xfId="0" applyFont="1" applyBorder="1"/>
    <xf numFmtId="0" fontId="22" fillId="8" borderId="0" xfId="0" applyFont="1" applyFill="1"/>
    <xf numFmtId="0" fontId="22" fillId="9" borderId="0" xfId="0" applyFont="1" applyFill="1"/>
    <xf numFmtId="0" fontId="0" fillId="7" borderId="0" xfId="0" applyFill="1"/>
    <xf numFmtId="3" fontId="23" fillId="0" borderId="3" xfId="0" applyNumberFormat="1" applyFont="1" applyBorder="1"/>
    <xf numFmtId="3" fontId="20" fillId="7" borderId="0" xfId="0" applyNumberFormat="1" applyFont="1" applyFill="1"/>
    <xf numFmtId="3" fontId="20" fillId="8" borderId="0" xfId="0" applyNumberFormat="1" applyFont="1" applyFill="1"/>
    <xf numFmtId="3" fontId="20" fillId="0" borderId="0" xfId="0" applyNumberFormat="1" applyFont="1"/>
    <xf numFmtId="3" fontId="20" fillId="9" borderId="0" xfId="0" applyNumberFormat="1" applyFont="1" applyFill="1"/>
    <xf numFmtId="3" fontId="0" fillId="7" borderId="0" xfId="0" applyNumberFormat="1" applyFill="1"/>
    <xf numFmtId="3" fontId="24" fillId="0" borderId="3" xfId="0" applyNumberFormat="1" applyFont="1" applyBorder="1"/>
    <xf numFmtId="9" fontId="0" fillId="0" borderId="0" xfId="1" applyFont="1"/>
    <xf numFmtId="0" fontId="0" fillId="0" borderId="2" xfId="0" applyBorder="1"/>
    <xf numFmtId="3" fontId="0" fillId="0" borderId="2" xfId="0" applyNumberFormat="1" applyBorder="1"/>
    <xf numFmtId="0" fontId="0" fillId="0" borderId="4" xfId="0" applyBorder="1"/>
    <xf numFmtId="3" fontId="0" fillId="0" borderId="4" xfId="0" applyNumberFormat="1" applyBorder="1"/>
    <xf numFmtId="3" fontId="4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7E79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E54F-6E38-874C-9E9F-FFB7B9870655}">
  <dimension ref="A1:F31"/>
  <sheetViews>
    <sheetView workbookViewId="0">
      <selection activeCell="B23" sqref="B23"/>
    </sheetView>
  </sheetViews>
  <sheetFormatPr baseColWidth="10" defaultColWidth="11" defaultRowHeight="16" x14ac:dyDescent="0.2"/>
  <cols>
    <col min="1" max="1" width="43.6640625" customWidth="1"/>
    <col min="2" max="4" width="20.83203125" customWidth="1"/>
    <col min="6" max="6" width="11.33203125" customWidth="1"/>
    <col min="7" max="7" width="13" customWidth="1"/>
  </cols>
  <sheetData>
    <row r="1" spans="1:4" x14ac:dyDescent="0.2">
      <c r="A1" t="s">
        <v>0</v>
      </c>
    </row>
    <row r="3" spans="1:4" x14ac:dyDescent="0.2">
      <c r="A3" t="s">
        <v>1</v>
      </c>
      <c r="B3" s="2" t="s">
        <v>2</v>
      </c>
    </row>
    <row r="4" spans="1:4" x14ac:dyDescent="0.2">
      <c r="A4" t="s">
        <v>3</v>
      </c>
      <c r="B4" s="1">
        <v>175000</v>
      </c>
      <c r="C4" s="1"/>
      <c r="D4" s="1"/>
    </row>
    <row r="5" spans="1:4" x14ac:dyDescent="0.2">
      <c r="A5" t="s">
        <v>4</v>
      </c>
      <c r="B5" s="1">
        <v>245000</v>
      </c>
      <c r="C5" s="1"/>
      <c r="D5" s="1"/>
    </row>
    <row r="6" spans="1:4" x14ac:dyDescent="0.2">
      <c r="A6" t="s">
        <v>5</v>
      </c>
      <c r="B6" s="1">
        <v>97000</v>
      </c>
      <c r="C6" s="1"/>
      <c r="D6" s="1"/>
    </row>
    <row r="7" spans="1:4" x14ac:dyDescent="0.2">
      <c r="A7" t="s">
        <v>6</v>
      </c>
      <c r="B7" s="1">
        <v>570000</v>
      </c>
      <c r="C7" s="1"/>
      <c r="D7" s="1"/>
    </row>
    <row r="8" spans="1:4" x14ac:dyDescent="0.2">
      <c r="A8" t="s">
        <v>7</v>
      </c>
      <c r="B8" s="1">
        <v>396000</v>
      </c>
      <c r="C8" s="1"/>
      <c r="D8" s="1"/>
    </row>
    <row r="9" spans="1:4" x14ac:dyDescent="0.2">
      <c r="A9" t="s">
        <v>8</v>
      </c>
      <c r="B9" s="1">
        <v>168000</v>
      </c>
      <c r="C9" s="1"/>
      <c r="D9" s="1"/>
    </row>
    <row r="10" spans="1:4" x14ac:dyDescent="0.2">
      <c r="A10" t="s">
        <v>9</v>
      </c>
      <c r="B10" s="1">
        <v>315000</v>
      </c>
      <c r="C10" s="1"/>
      <c r="D10" s="1"/>
    </row>
    <row r="11" spans="1:4" x14ac:dyDescent="0.2">
      <c r="B11" s="1"/>
      <c r="C11" s="1"/>
      <c r="D11" s="1"/>
    </row>
    <row r="12" spans="1:4" x14ac:dyDescent="0.2">
      <c r="B12" s="1"/>
      <c r="C12" s="1"/>
      <c r="D12" s="1"/>
    </row>
    <row r="14" spans="1:4" x14ac:dyDescent="0.2">
      <c r="A14" t="s">
        <v>10</v>
      </c>
    </row>
    <row r="31" spans="6:6" x14ac:dyDescent="0.2">
      <c r="F31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C4379-A5CB-624B-81EF-3C350A67E152}">
  <dimension ref="A1:J37"/>
  <sheetViews>
    <sheetView topLeftCell="A14" workbookViewId="0">
      <selection activeCell="D26" sqref="D26"/>
    </sheetView>
  </sheetViews>
  <sheetFormatPr baseColWidth="10" defaultColWidth="11" defaultRowHeight="16" x14ac:dyDescent="0.2"/>
  <cols>
    <col min="1" max="1" width="43.6640625" customWidth="1"/>
    <col min="2" max="3" width="20.83203125" customWidth="1"/>
    <col min="4" max="4" width="22.6640625" customWidth="1"/>
    <col min="6" max="6" width="11.33203125" customWidth="1"/>
    <col min="7" max="7" width="13" customWidth="1"/>
    <col min="9" max="9" width="16" customWidth="1"/>
  </cols>
  <sheetData>
    <row r="1" spans="1:10" x14ac:dyDescent="0.2">
      <c r="A1" t="s">
        <v>11</v>
      </c>
    </row>
    <row r="3" spans="1:10" x14ac:dyDescent="0.2">
      <c r="A3" s="5" t="s">
        <v>12</v>
      </c>
      <c r="B3" s="2" t="s">
        <v>13</v>
      </c>
      <c r="C3" t="s">
        <v>14</v>
      </c>
      <c r="D3" t="s">
        <v>15</v>
      </c>
    </row>
    <row r="4" spans="1:10" x14ac:dyDescent="0.2">
      <c r="A4" t="s">
        <v>3</v>
      </c>
      <c r="B4" s="1">
        <v>175000</v>
      </c>
      <c r="C4" s="1">
        <v>0</v>
      </c>
      <c r="D4" s="1">
        <f>B4-C4</f>
        <v>175000</v>
      </c>
    </row>
    <row r="5" spans="1:10" x14ac:dyDescent="0.2">
      <c r="A5" t="s">
        <v>4</v>
      </c>
      <c r="B5" s="1">
        <v>245000</v>
      </c>
      <c r="C5" s="1">
        <v>0</v>
      </c>
      <c r="D5" s="1">
        <f t="shared" ref="D5:D10" si="0">B5-C5</f>
        <v>245000</v>
      </c>
    </row>
    <row r="6" spans="1:10" x14ac:dyDescent="0.2">
      <c r="A6" t="s">
        <v>5</v>
      </c>
      <c r="B6" s="1">
        <v>97000</v>
      </c>
      <c r="C6" s="1"/>
      <c r="D6" s="1">
        <f t="shared" si="0"/>
        <v>97000</v>
      </c>
    </row>
    <row r="7" spans="1:10" x14ac:dyDescent="0.2">
      <c r="A7" t="s">
        <v>6</v>
      </c>
      <c r="B7" s="1">
        <v>570000</v>
      </c>
      <c r="C7" s="1">
        <f>H16*H17</f>
        <v>114000</v>
      </c>
      <c r="D7" s="1">
        <f t="shared" si="0"/>
        <v>456000</v>
      </c>
    </row>
    <row r="8" spans="1:10" x14ac:dyDescent="0.2">
      <c r="A8" t="s">
        <v>7</v>
      </c>
      <c r="B8" s="1">
        <v>396000</v>
      </c>
      <c r="C8" s="1">
        <f>H22*H21</f>
        <v>118800</v>
      </c>
      <c r="D8" s="1">
        <f t="shared" si="0"/>
        <v>277200</v>
      </c>
    </row>
    <row r="9" spans="1:10" x14ac:dyDescent="0.2">
      <c r="A9" t="s">
        <v>8</v>
      </c>
      <c r="B9" s="1">
        <v>168000</v>
      </c>
      <c r="C9" s="1">
        <f>H27*H26</f>
        <v>48000</v>
      </c>
      <c r="D9" s="1">
        <f t="shared" si="0"/>
        <v>120000</v>
      </c>
      <c r="F9" t="s">
        <v>16</v>
      </c>
    </row>
    <row r="10" spans="1:10" x14ac:dyDescent="0.2">
      <c r="A10" t="s">
        <v>9</v>
      </c>
      <c r="B10" s="1">
        <v>315000</v>
      </c>
      <c r="C10" s="1">
        <f>H32*H31</f>
        <v>18000</v>
      </c>
      <c r="D10" s="1">
        <f t="shared" si="0"/>
        <v>297000</v>
      </c>
      <c r="G10" t="s">
        <v>17</v>
      </c>
      <c r="H10" s="1">
        <v>470000</v>
      </c>
    </row>
    <row r="11" spans="1:10" ht="17" thickBot="1" x14ac:dyDescent="0.25">
      <c r="B11" s="1"/>
      <c r="C11" s="1"/>
      <c r="D11" s="1"/>
      <c r="F11" t="s">
        <v>18</v>
      </c>
      <c r="H11" s="1"/>
    </row>
    <row r="12" spans="1:10" ht="17" thickTop="1" x14ac:dyDescent="0.2">
      <c r="A12" s="11" t="s">
        <v>19</v>
      </c>
      <c r="B12" s="12"/>
      <c r="C12" s="12"/>
      <c r="D12" s="13">
        <f>SUM(D4:D10)</f>
        <v>1667200</v>
      </c>
      <c r="G12" t="s">
        <v>20</v>
      </c>
      <c r="H12" s="3">
        <v>0.45</v>
      </c>
      <c r="I12" t="s">
        <v>21</v>
      </c>
      <c r="J12" s="1">
        <f>0.4*H12*B6</f>
        <v>17460.000000000004</v>
      </c>
    </row>
    <row r="13" spans="1:10" x14ac:dyDescent="0.2">
      <c r="G13" t="s">
        <v>22</v>
      </c>
      <c r="H13" s="3">
        <f>1-H12</f>
        <v>0.55000000000000004</v>
      </c>
      <c r="I13" t="s">
        <v>23</v>
      </c>
      <c r="J13" s="1">
        <f>H13*B6</f>
        <v>53350.000000000007</v>
      </c>
    </row>
    <row r="14" spans="1:10" x14ac:dyDescent="0.2">
      <c r="F14" t="s">
        <v>24</v>
      </c>
    </row>
    <row r="15" spans="1:10" x14ac:dyDescent="0.2">
      <c r="A15" s="8" t="s">
        <v>25</v>
      </c>
      <c r="B15" s="2" t="s">
        <v>13</v>
      </c>
      <c r="C15" s="2" t="s">
        <v>26</v>
      </c>
      <c r="D15" s="2" t="s">
        <v>27</v>
      </c>
      <c r="G15" t="s">
        <v>28</v>
      </c>
      <c r="H15">
        <v>20</v>
      </c>
      <c r="I15" t="s">
        <v>29</v>
      </c>
    </row>
    <row r="16" spans="1:10" x14ac:dyDescent="0.2">
      <c r="A16" t="s">
        <v>3</v>
      </c>
      <c r="B16" s="62">
        <f>B4+B5</f>
        <v>420000</v>
      </c>
      <c r="C16" s="61">
        <f>B16-D16</f>
        <v>-50000</v>
      </c>
      <c r="D16" s="61">
        <f>H10</f>
        <v>470000</v>
      </c>
      <c r="G16" t="s">
        <v>30</v>
      </c>
      <c r="H16">
        <v>4</v>
      </c>
      <c r="I16" t="s">
        <v>31</v>
      </c>
    </row>
    <row r="17" spans="1:9" x14ac:dyDescent="0.2">
      <c r="A17" t="s">
        <v>4</v>
      </c>
      <c r="B17" s="62"/>
      <c r="C17" s="61"/>
      <c r="D17" s="61"/>
      <c r="G17" t="s">
        <v>32</v>
      </c>
      <c r="H17" s="1">
        <f>B7/H15</f>
        <v>28500</v>
      </c>
    </row>
    <row r="18" spans="1:9" x14ac:dyDescent="0.2">
      <c r="A18" t="s">
        <v>33</v>
      </c>
      <c r="B18" s="1">
        <f>B6*H13</f>
        <v>53350.000000000007</v>
      </c>
      <c r="C18" s="9">
        <f>B18-D18</f>
        <v>0</v>
      </c>
      <c r="D18" s="9">
        <f>J13</f>
        <v>53350.000000000007</v>
      </c>
      <c r="G18" t="s">
        <v>34</v>
      </c>
      <c r="H18" s="1">
        <v>630000</v>
      </c>
    </row>
    <row r="19" spans="1:9" x14ac:dyDescent="0.2">
      <c r="A19" t="s">
        <v>35</v>
      </c>
      <c r="B19" s="1">
        <f>B6-B18</f>
        <v>43649.999999999993</v>
      </c>
      <c r="C19" s="9">
        <f>B19-D19</f>
        <v>26189.999999999989</v>
      </c>
      <c r="D19" s="9">
        <f>J12</f>
        <v>17460.000000000004</v>
      </c>
      <c r="F19" t="s">
        <v>36</v>
      </c>
    </row>
    <row r="20" spans="1:9" x14ac:dyDescent="0.2">
      <c r="A20" t="s">
        <v>6</v>
      </c>
      <c r="B20" s="1">
        <v>570000</v>
      </c>
      <c r="C20" s="9">
        <f>B20-D20</f>
        <v>-60000</v>
      </c>
      <c r="D20" s="9">
        <f>H18</f>
        <v>630000</v>
      </c>
      <c r="G20" t="s">
        <v>28</v>
      </c>
      <c r="H20">
        <v>20</v>
      </c>
      <c r="I20" t="s">
        <v>29</v>
      </c>
    </row>
    <row r="21" spans="1:9" x14ac:dyDescent="0.2">
      <c r="A21" t="s">
        <v>7</v>
      </c>
      <c r="B21" s="1">
        <v>396000</v>
      </c>
      <c r="C21" s="9">
        <f>B21-D21</f>
        <v>111000</v>
      </c>
      <c r="D21" s="9">
        <f>H23</f>
        <v>285000</v>
      </c>
      <c r="G21" t="s">
        <v>30</v>
      </c>
      <c r="H21">
        <v>6</v>
      </c>
      <c r="I21" t="s">
        <v>29</v>
      </c>
    </row>
    <row r="22" spans="1:9" x14ac:dyDescent="0.2">
      <c r="A22" t="s">
        <v>8</v>
      </c>
      <c r="B22" s="1">
        <v>168000</v>
      </c>
      <c r="C22" s="9">
        <f>B22-D22</f>
        <v>23000</v>
      </c>
      <c r="D22" s="9">
        <f>H28</f>
        <v>145000</v>
      </c>
      <c r="G22" t="s">
        <v>32</v>
      </c>
      <c r="H22" s="1">
        <f>B8/H20</f>
        <v>19800</v>
      </c>
    </row>
    <row r="23" spans="1:9" x14ac:dyDescent="0.2">
      <c r="A23" s="10" t="s">
        <v>37</v>
      </c>
      <c r="B23" s="1">
        <f>H34*(H35)</f>
        <v>220500</v>
      </c>
      <c r="C23" s="9">
        <f t="shared" ref="C23:C24" si="1">B23-D23</f>
        <v>-24500</v>
      </c>
      <c r="D23" s="9">
        <f>H35*H36</f>
        <v>245000</v>
      </c>
      <c r="G23" t="s">
        <v>38</v>
      </c>
      <c r="H23" s="1">
        <v>285000</v>
      </c>
    </row>
    <row r="24" spans="1:9" x14ac:dyDescent="0.2">
      <c r="A24" s="10" t="s">
        <v>39</v>
      </c>
      <c r="B24" s="1">
        <f>B10-B23</f>
        <v>94500</v>
      </c>
      <c r="C24" s="9">
        <f t="shared" si="1"/>
        <v>-10500</v>
      </c>
      <c r="D24" s="9">
        <f>(H33-H35)*H36</f>
        <v>105000</v>
      </c>
      <c r="F24" t="s">
        <v>8</v>
      </c>
    </row>
    <row r="25" spans="1:9" ht="17" thickBot="1" x14ac:dyDescent="0.25">
      <c r="G25" t="s">
        <v>28</v>
      </c>
      <c r="H25">
        <v>35</v>
      </c>
      <c r="I25" t="s">
        <v>29</v>
      </c>
    </row>
    <row r="26" spans="1:9" ht="17" thickTop="1" x14ac:dyDescent="0.2">
      <c r="A26" s="11" t="s">
        <v>40</v>
      </c>
      <c r="B26" s="12"/>
      <c r="C26" s="12"/>
      <c r="D26" s="14">
        <f>SUM(D16:D24)</f>
        <v>1950810</v>
      </c>
      <c r="G26" t="s">
        <v>30</v>
      </c>
      <c r="H26">
        <v>10</v>
      </c>
      <c r="I26" t="s">
        <v>29</v>
      </c>
    </row>
    <row r="27" spans="1:9" x14ac:dyDescent="0.2">
      <c r="G27" t="s">
        <v>32</v>
      </c>
      <c r="H27" s="1">
        <f>B9/H25</f>
        <v>4800</v>
      </c>
    </row>
    <row r="28" spans="1:9" x14ac:dyDescent="0.2">
      <c r="G28" t="s">
        <v>34</v>
      </c>
      <c r="H28" s="1">
        <v>145000</v>
      </c>
    </row>
    <row r="29" spans="1:9" x14ac:dyDescent="0.2">
      <c r="F29" t="s">
        <v>9</v>
      </c>
    </row>
    <row r="30" spans="1:9" x14ac:dyDescent="0.2">
      <c r="G30" t="s">
        <v>28</v>
      </c>
      <c r="H30">
        <v>35</v>
      </c>
      <c r="I30" t="s">
        <v>29</v>
      </c>
    </row>
    <row r="31" spans="1:9" x14ac:dyDescent="0.2">
      <c r="G31" t="s">
        <v>30</v>
      </c>
      <c r="H31">
        <v>2</v>
      </c>
      <c r="I31" t="s">
        <v>31</v>
      </c>
    </row>
    <row r="32" spans="1:9" x14ac:dyDescent="0.2">
      <c r="G32" t="s">
        <v>32</v>
      </c>
      <c r="H32" s="1">
        <f>B10/H30</f>
        <v>9000</v>
      </c>
    </row>
    <row r="33" spans="6:9" x14ac:dyDescent="0.2">
      <c r="G33" t="s">
        <v>41</v>
      </c>
      <c r="H33" s="1">
        <v>70</v>
      </c>
    </row>
    <row r="34" spans="6:9" x14ac:dyDescent="0.2">
      <c r="G34" t="s">
        <v>42</v>
      </c>
      <c r="H34" s="1">
        <f>B10/H33</f>
        <v>4500</v>
      </c>
      <c r="I34" t="s">
        <v>43</v>
      </c>
    </row>
    <row r="35" spans="6:9" x14ac:dyDescent="0.2">
      <c r="F35" s="3">
        <v>0.7</v>
      </c>
      <c r="G35" t="s">
        <v>44</v>
      </c>
      <c r="H35">
        <f>F35*H33</f>
        <v>49</v>
      </c>
    </row>
    <row r="36" spans="6:9" x14ac:dyDescent="0.2">
      <c r="G36" t="s">
        <v>45</v>
      </c>
      <c r="H36" s="1">
        <v>5000</v>
      </c>
      <c r="I36" t="s">
        <v>43</v>
      </c>
    </row>
    <row r="37" spans="6:9" x14ac:dyDescent="0.2">
      <c r="H37" s="1"/>
    </row>
  </sheetData>
  <sheetProtection selectLockedCells="1" selectUnlockedCells="1"/>
  <mergeCells count="3">
    <mergeCell ref="D16:D17"/>
    <mergeCell ref="B16:B17"/>
    <mergeCell ref="C16:C1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9D5-7EC7-9D40-A460-17CC1971BE8E}">
  <dimension ref="A1:W62"/>
  <sheetViews>
    <sheetView topLeftCell="C1" zoomScale="110" zoomScaleNormal="110" workbookViewId="0">
      <selection activeCell="Q21" sqref="Q21"/>
    </sheetView>
  </sheetViews>
  <sheetFormatPr baseColWidth="10" defaultColWidth="11" defaultRowHeight="16" x14ac:dyDescent="0.2"/>
  <cols>
    <col min="1" max="1" width="36.5" customWidth="1"/>
    <col min="2" max="2" width="14.6640625" customWidth="1"/>
    <col min="3" max="3" width="11.6640625" customWidth="1"/>
    <col min="4" max="4" width="12" customWidth="1"/>
    <col min="5" max="5" width="13.6640625" customWidth="1"/>
    <col min="6" max="6" width="6" customWidth="1"/>
    <col min="7" max="7" width="36.5" customWidth="1"/>
    <col min="12" max="12" width="1.6640625" customWidth="1"/>
    <col min="13" max="13" width="36.83203125" customWidth="1"/>
    <col min="18" max="18" width="1.6640625" customWidth="1"/>
    <col min="19" max="19" width="36" customWidth="1"/>
    <col min="20" max="20" width="12.5" bestFit="1" customWidth="1"/>
  </cols>
  <sheetData>
    <row r="1" spans="1:23" x14ac:dyDescent="0.2">
      <c r="A1" t="s">
        <v>46</v>
      </c>
    </row>
    <row r="3" spans="1:23" ht="18" customHeight="1" x14ac:dyDescent="0.2">
      <c r="A3" s="22" t="s">
        <v>47</v>
      </c>
      <c r="G3" s="23" t="s">
        <v>48</v>
      </c>
      <c r="M3" s="25" t="s">
        <v>49</v>
      </c>
    </row>
    <row r="4" spans="1:23" x14ac:dyDescent="0.2">
      <c r="A4" t="s">
        <v>50</v>
      </c>
      <c r="B4">
        <v>2</v>
      </c>
      <c r="C4" t="s">
        <v>31</v>
      </c>
      <c r="D4" s="24" t="s">
        <v>51</v>
      </c>
      <c r="G4" t="s">
        <v>50</v>
      </c>
      <c r="H4">
        <v>1</v>
      </c>
      <c r="I4" t="s">
        <v>52</v>
      </c>
      <c r="J4" s="21" t="s">
        <v>51</v>
      </c>
      <c r="M4" t="s">
        <v>50</v>
      </c>
      <c r="N4">
        <v>3</v>
      </c>
      <c r="O4" t="s">
        <v>52</v>
      </c>
      <c r="P4" s="26" t="s">
        <v>51</v>
      </c>
      <c r="S4" s="31" t="s">
        <v>53</v>
      </c>
    </row>
    <row r="5" spans="1:23" x14ac:dyDescent="0.2">
      <c r="A5" t="s">
        <v>54</v>
      </c>
      <c r="B5">
        <v>2</v>
      </c>
      <c r="C5" t="s">
        <v>31</v>
      </c>
      <c r="G5" t="s">
        <v>54</v>
      </c>
      <c r="H5">
        <v>5</v>
      </c>
      <c r="I5" t="s">
        <v>29</v>
      </c>
      <c r="M5" t="s">
        <v>54</v>
      </c>
      <c r="N5">
        <v>2</v>
      </c>
      <c r="O5" t="s">
        <v>29</v>
      </c>
      <c r="S5" t="s">
        <v>50</v>
      </c>
      <c r="T5">
        <v>4</v>
      </c>
      <c r="U5" t="s">
        <v>52</v>
      </c>
      <c r="V5" s="29" t="s">
        <v>51</v>
      </c>
    </row>
    <row r="6" spans="1:23" x14ac:dyDescent="0.2">
      <c r="A6" t="s">
        <v>55</v>
      </c>
      <c r="B6" s="1">
        <v>87000</v>
      </c>
      <c r="G6" t="s">
        <v>55</v>
      </c>
      <c r="H6" s="1">
        <v>94000</v>
      </c>
      <c r="M6" t="s">
        <v>55</v>
      </c>
      <c r="N6" s="1">
        <v>79000</v>
      </c>
      <c r="S6" t="s">
        <v>54</v>
      </c>
      <c r="T6">
        <v>3</v>
      </c>
      <c r="U6" t="s">
        <v>29</v>
      </c>
    </row>
    <row r="7" spans="1:23" x14ac:dyDescent="0.2">
      <c r="A7" t="s">
        <v>56</v>
      </c>
      <c r="B7" s="3">
        <v>0.75</v>
      </c>
      <c r="G7" t="s">
        <v>56</v>
      </c>
      <c r="H7" s="3">
        <v>0.65</v>
      </c>
      <c r="M7" t="s">
        <v>56</v>
      </c>
      <c r="N7" s="3">
        <v>0</v>
      </c>
      <c r="S7" t="s">
        <v>55</v>
      </c>
      <c r="T7" s="1">
        <v>102000</v>
      </c>
    </row>
    <row r="8" spans="1:23" x14ac:dyDescent="0.2">
      <c r="A8" t="s">
        <v>57</v>
      </c>
      <c r="B8" s="20"/>
      <c r="G8" t="s">
        <v>57</v>
      </c>
      <c r="H8" s="19"/>
      <c r="M8" t="s">
        <v>57</v>
      </c>
      <c r="N8" s="27">
        <f>N7*N6</f>
        <v>0</v>
      </c>
      <c r="S8" t="s">
        <v>58</v>
      </c>
      <c r="T8">
        <v>6</v>
      </c>
    </row>
    <row r="9" spans="1:23" x14ac:dyDescent="0.2">
      <c r="A9" t="s">
        <v>59</v>
      </c>
      <c r="G9" t="s">
        <v>60</v>
      </c>
      <c r="S9" t="s">
        <v>61</v>
      </c>
      <c r="T9" s="15">
        <v>0.2</v>
      </c>
    </row>
    <row r="10" spans="1:23" x14ac:dyDescent="0.2">
      <c r="A10" t="s">
        <v>62</v>
      </c>
      <c r="B10" s="15">
        <v>4.7500000000000001E-2</v>
      </c>
      <c r="G10" t="s">
        <v>62</v>
      </c>
      <c r="H10" s="15">
        <v>3.9E-2</v>
      </c>
      <c r="N10" s="15"/>
      <c r="S10" t="s">
        <v>63</v>
      </c>
      <c r="T10">
        <v>1.175</v>
      </c>
    </row>
    <row r="11" spans="1:23" x14ac:dyDescent="0.2">
      <c r="A11" t="s">
        <v>64</v>
      </c>
      <c r="B11">
        <v>12</v>
      </c>
      <c r="G11" t="s">
        <v>64</v>
      </c>
      <c r="H11">
        <v>20</v>
      </c>
      <c r="S11" t="s">
        <v>65</v>
      </c>
      <c r="T11" s="1">
        <f>T10*(1-T9)*T7</f>
        <v>95880</v>
      </c>
    </row>
    <row r="12" spans="1:23" x14ac:dyDescent="0.2">
      <c r="A12" s="17" t="s">
        <v>66</v>
      </c>
      <c r="G12" s="17" t="s">
        <v>66</v>
      </c>
      <c r="M12" s="17"/>
      <c r="S12" t="s">
        <v>67</v>
      </c>
      <c r="T12">
        <v>0</v>
      </c>
    </row>
    <row r="13" spans="1:23" x14ac:dyDescent="0.2">
      <c r="A13" s="17" t="s">
        <v>68</v>
      </c>
      <c r="G13" s="17" t="s">
        <v>68</v>
      </c>
      <c r="M13" s="17"/>
    </row>
    <row r="14" spans="1:23" ht="5" customHeight="1" x14ac:dyDescent="0.2">
      <c r="A14" s="4"/>
      <c r="B14" s="4"/>
      <c r="C14" s="4"/>
      <c r="D14" s="4"/>
      <c r="E14" s="4"/>
      <c r="G14" s="18"/>
      <c r="H14" s="18"/>
      <c r="I14" s="18"/>
      <c r="J14" s="18"/>
      <c r="K14" s="18"/>
      <c r="M14" s="28"/>
      <c r="N14" s="28"/>
      <c r="O14" s="28"/>
      <c r="P14" s="28"/>
      <c r="Q14" s="28"/>
      <c r="S14" s="30"/>
      <c r="T14" s="30"/>
      <c r="U14" s="30"/>
      <c r="V14" s="30"/>
      <c r="W14" s="30"/>
    </row>
    <row r="15" spans="1:23" x14ac:dyDescent="0.2">
      <c r="A15" s="7" t="s">
        <v>69</v>
      </c>
      <c r="G15" s="7" t="s">
        <v>70</v>
      </c>
      <c r="M15" s="7"/>
      <c r="S15" t="s">
        <v>71</v>
      </c>
      <c r="T15" t="s">
        <v>72</v>
      </c>
    </row>
    <row r="16" spans="1:23" x14ac:dyDescent="0.2">
      <c r="A16" t="s">
        <v>73</v>
      </c>
      <c r="B16" t="s">
        <v>74</v>
      </c>
      <c r="C16" t="s">
        <v>75</v>
      </c>
      <c r="D16" t="s">
        <v>76</v>
      </c>
      <c r="E16" t="s">
        <v>77</v>
      </c>
      <c r="G16" t="s">
        <v>73</v>
      </c>
      <c r="H16" t="s">
        <v>74</v>
      </c>
      <c r="I16" t="s">
        <v>75</v>
      </c>
      <c r="J16" t="s">
        <v>76</v>
      </c>
      <c r="K16" t="s">
        <v>77</v>
      </c>
      <c r="M16" s="10" t="s">
        <v>78</v>
      </c>
      <c r="N16" s="10"/>
      <c r="O16" s="10">
        <v>24000</v>
      </c>
      <c r="S16">
        <v>1</v>
      </c>
      <c r="T16" s="1">
        <f>((1-T9)*T7*T10)/T8</f>
        <v>15980</v>
      </c>
    </row>
    <row r="17" spans="1:23" x14ac:dyDescent="0.2">
      <c r="A17">
        <v>1</v>
      </c>
      <c r="B17">
        <f>B9</f>
        <v>0</v>
      </c>
      <c r="C17">
        <f>ROUND((B10/4)*B8,)</f>
        <v>0</v>
      </c>
      <c r="D17">
        <f>B17-C17</f>
        <v>0</v>
      </c>
      <c r="E17" s="1">
        <f>B8-D17</f>
        <v>0</v>
      </c>
      <c r="G17">
        <v>1</v>
      </c>
      <c r="H17">
        <f>$H$9</f>
        <v>0</v>
      </c>
      <c r="I17">
        <f>ROUND((H10/4)*H8,)</f>
        <v>0</v>
      </c>
      <c r="J17">
        <f>H17-I17</f>
        <v>0</v>
      </c>
      <c r="K17" s="1">
        <f>H8-J17</f>
        <v>0</v>
      </c>
      <c r="Q17" s="1"/>
      <c r="S17">
        <f>S16+1</f>
        <v>2</v>
      </c>
      <c r="T17" s="1">
        <f>T16</f>
        <v>15980</v>
      </c>
    </row>
    <row r="18" spans="1:23" x14ac:dyDescent="0.2">
      <c r="A18">
        <f>A17+1</f>
        <v>2</v>
      </c>
      <c r="B18">
        <f>$B$9</f>
        <v>0</v>
      </c>
      <c r="C18">
        <f>ROUND(($B$10/4)*E17,)</f>
        <v>0</v>
      </c>
      <c r="D18">
        <f t="shared" ref="D18:D28" si="0">B18-C18</f>
        <v>0</v>
      </c>
      <c r="E18" s="1">
        <f>E17-D18</f>
        <v>0</v>
      </c>
      <c r="G18">
        <f>G17+1</f>
        <v>2</v>
      </c>
      <c r="H18">
        <f t="shared" ref="H18:H35" si="1">$H$9</f>
        <v>0</v>
      </c>
      <c r="I18">
        <f>ROUND(($H$10/4)*K17,)</f>
        <v>0</v>
      </c>
      <c r="J18">
        <f>H18-I18</f>
        <v>0</v>
      </c>
      <c r="K18" s="1">
        <f>K17-J18</f>
        <v>0</v>
      </c>
      <c r="Q18" s="1"/>
      <c r="S18">
        <f t="shared" ref="S18:S20" si="2">S17+1</f>
        <v>3</v>
      </c>
      <c r="T18" s="1">
        <f t="shared" ref="T18:T21" si="3">T17</f>
        <v>15980</v>
      </c>
    </row>
    <row r="19" spans="1:23" x14ac:dyDescent="0.2">
      <c r="A19">
        <f t="shared" ref="A19:A27" si="4">A18+1</f>
        <v>3</v>
      </c>
      <c r="B19">
        <f t="shared" ref="B19:B27" si="5">$B$9</f>
        <v>0</v>
      </c>
      <c r="C19">
        <f>ROUND(($B$10/4)*E18,)</f>
        <v>0</v>
      </c>
      <c r="D19">
        <f t="shared" si="0"/>
        <v>0</v>
      </c>
      <c r="E19" s="1">
        <f t="shared" ref="E19:E28" si="6">E18-D19</f>
        <v>0</v>
      </c>
      <c r="G19">
        <f t="shared" ref="G19:G25" si="7">G18+1</f>
        <v>3</v>
      </c>
      <c r="H19">
        <f t="shared" si="1"/>
        <v>0</v>
      </c>
      <c r="I19">
        <f t="shared" ref="I19:I36" si="8">ROUND(($H$10/4)*K18,)</f>
        <v>0</v>
      </c>
      <c r="J19">
        <f t="shared" ref="J19:J36" si="9">H19-I19</f>
        <v>0</v>
      </c>
      <c r="K19" s="1">
        <f t="shared" ref="K19:K36" si="10">K18-J19</f>
        <v>0</v>
      </c>
      <c r="Q19" s="1"/>
      <c r="S19">
        <f t="shared" si="2"/>
        <v>4</v>
      </c>
      <c r="T19" s="1">
        <f t="shared" si="3"/>
        <v>15980</v>
      </c>
    </row>
    <row r="20" spans="1:23" x14ac:dyDescent="0.2">
      <c r="A20">
        <f t="shared" si="4"/>
        <v>4</v>
      </c>
      <c r="B20">
        <f t="shared" si="5"/>
        <v>0</v>
      </c>
      <c r="C20">
        <f t="shared" ref="C20:C28" si="11">ROUND(($B$10/4)*E19,)</f>
        <v>0</v>
      </c>
      <c r="D20">
        <f t="shared" si="0"/>
        <v>0</v>
      </c>
      <c r="E20" s="1">
        <f t="shared" si="6"/>
        <v>0</v>
      </c>
      <c r="G20">
        <f t="shared" si="7"/>
        <v>4</v>
      </c>
      <c r="H20">
        <f t="shared" si="1"/>
        <v>0</v>
      </c>
      <c r="I20">
        <f t="shared" si="8"/>
        <v>0</v>
      </c>
      <c r="J20">
        <f t="shared" si="9"/>
        <v>0</v>
      </c>
      <c r="K20" s="1">
        <f t="shared" si="10"/>
        <v>0</v>
      </c>
      <c r="Q20" s="1"/>
      <c r="S20">
        <f t="shared" si="2"/>
        <v>5</v>
      </c>
      <c r="T20" s="1">
        <f t="shared" si="3"/>
        <v>15980</v>
      </c>
      <c r="W20" s="1"/>
    </row>
    <row r="21" spans="1:23" x14ac:dyDescent="0.2">
      <c r="A21">
        <f t="shared" si="4"/>
        <v>5</v>
      </c>
      <c r="B21">
        <f t="shared" si="5"/>
        <v>0</v>
      </c>
      <c r="C21">
        <f t="shared" si="11"/>
        <v>0</v>
      </c>
      <c r="D21">
        <f t="shared" si="0"/>
        <v>0</v>
      </c>
      <c r="E21" s="1">
        <f t="shared" si="6"/>
        <v>0</v>
      </c>
      <c r="G21">
        <f t="shared" si="7"/>
        <v>5</v>
      </c>
      <c r="H21">
        <f t="shared" si="1"/>
        <v>0</v>
      </c>
      <c r="I21">
        <f t="shared" si="8"/>
        <v>0</v>
      </c>
      <c r="J21">
        <f t="shared" si="9"/>
        <v>0</v>
      </c>
      <c r="K21" s="1">
        <f t="shared" si="10"/>
        <v>0</v>
      </c>
      <c r="S21">
        <f>S20+1</f>
        <v>6</v>
      </c>
      <c r="T21" s="1">
        <f t="shared" si="3"/>
        <v>15980</v>
      </c>
      <c r="W21" s="1"/>
    </row>
    <row r="22" spans="1:23" x14ac:dyDescent="0.2">
      <c r="A22">
        <f t="shared" si="4"/>
        <v>6</v>
      </c>
      <c r="B22">
        <f t="shared" si="5"/>
        <v>0</v>
      </c>
      <c r="C22">
        <f t="shared" si="11"/>
        <v>0</v>
      </c>
      <c r="D22">
        <f t="shared" si="0"/>
        <v>0</v>
      </c>
      <c r="E22" s="1">
        <f t="shared" si="6"/>
        <v>0</v>
      </c>
      <c r="G22">
        <f t="shared" si="7"/>
        <v>6</v>
      </c>
      <c r="H22">
        <f t="shared" si="1"/>
        <v>0</v>
      </c>
      <c r="I22">
        <f t="shared" si="8"/>
        <v>0</v>
      </c>
      <c r="J22">
        <f t="shared" si="9"/>
        <v>0</v>
      </c>
      <c r="K22" s="1">
        <f t="shared" si="10"/>
        <v>0</v>
      </c>
      <c r="T22" s="1"/>
      <c r="W22" s="1"/>
    </row>
    <row r="23" spans="1:23" x14ac:dyDescent="0.2">
      <c r="A23">
        <f t="shared" si="4"/>
        <v>7</v>
      </c>
      <c r="B23">
        <f t="shared" si="5"/>
        <v>0</v>
      </c>
      <c r="C23">
        <f t="shared" si="11"/>
        <v>0</v>
      </c>
      <c r="D23">
        <f t="shared" si="0"/>
        <v>0</v>
      </c>
      <c r="E23" s="1">
        <f t="shared" si="6"/>
        <v>0</v>
      </c>
      <c r="G23">
        <f t="shared" si="7"/>
        <v>7</v>
      </c>
      <c r="H23">
        <f t="shared" si="1"/>
        <v>0</v>
      </c>
      <c r="I23">
        <f t="shared" si="8"/>
        <v>0</v>
      </c>
      <c r="J23">
        <f t="shared" si="9"/>
        <v>0</v>
      </c>
      <c r="K23" s="1">
        <f t="shared" si="10"/>
        <v>0</v>
      </c>
      <c r="S23" s="32" t="s">
        <v>79</v>
      </c>
      <c r="T23" s="1"/>
      <c r="W23" s="1"/>
    </row>
    <row r="24" spans="1:23" x14ac:dyDescent="0.2">
      <c r="A24">
        <f t="shared" si="4"/>
        <v>8</v>
      </c>
      <c r="B24">
        <f t="shared" si="5"/>
        <v>0</v>
      </c>
      <c r="C24">
        <f t="shared" si="11"/>
        <v>0</v>
      </c>
      <c r="D24">
        <f t="shared" si="0"/>
        <v>0</v>
      </c>
      <c r="E24" s="1">
        <f t="shared" si="6"/>
        <v>0</v>
      </c>
      <c r="G24">
        <f t="shared" si="7"/>
        <v>8</v>
      </c>
      <c r="H24">
        <f t="shared" si="1"/>
        <v>0</v>
      </c>
      <c r="I24">
        <f t="shared" si="8"/>
        <v>0</v>
      </c>
      <c r="J24">
        <f t="shared" si="9"/>
        <v>0</v>
      </c>
      <c r="K24" s="1">
        <f t="shared" si="10"/>
        <v>0</v>
      </c>
      <c r="S24" s="35" t="s">
        <v>80</v>
      </c>
      <c r="T24" s="36">
        <v>75000</v>
      </c>
      <c r="W24" s="1"/>
    </row>
    <row r="25" spans="1:23" x14ac:dyDescent="0.2">
      <c r="A25">
        <f t="shared" si="4"/>
        <v>9</v>
      </c>
      <c r="B25">
        <f t="shared" si="5"/>
        <v>0</v>
      </c>
      <c r="C25">
        <f t="shared" si="11"/>
        <v>0</v>
      </c>
      <c r="D25">
        <f t="shared" si="0"/>
        <v>0</v>
      </c>
      <c r="E25" s="1">
        <f t="shared" si="6"/>
        <v>0</v>
      </c>
      <c r="G25">
        <f t="shared" si="7"/>
        <v>9</v>
      </c>
      <c r="H25">
        <f t="shared" si="1"/>
        <v>0</v>
      </c>
      <c r="I25">
        <f t="shared" si="8"/>
        <v>0</v>
      </c>
      <c r="J25">
        <f t="shared" si="9"/>
        <v>0</v>
      </c>
      <c r="K25" s="1">
        <f t="shared" si="10"/>
        <v>0</v>
      </c>
      <c r="S25" t="s">
        <v>81</v>
      </c>
      <c r="T25" s="34"/>
      <c r="W25" s="1"/>
    </row>
    <row r="26" spans="1:23" x14ac:dyDescent="0.2">
      <c r="A26">
        <f>A25+1</f>
        <v>10</v>
      </c>
      <c r="B26">
        <f t="shared" si="5"/>
        <v>0</v>
      </c>
      <c r="C26">
        <f t="shared" si="11"/>
        <v>0</v>
      </c>
      <c r="D26">
        <f t="shared" si="0"/>
        <v>0</v>
      </c>
      <c r="E26" s="1">
        <f t="shared" si="6"/>
        <v>0</v>
      </c>
      <c r="G26">
        <f>G25+1</f>
        <v>10</v>
      </c>
      <c r="H26">
        <f t="shared" si="1"/>
        <v>0</v>
      </c>
      <c r="I26">
        <f t="shared" si="8"/>
        <v>0</v>
      </c>
      <c r="J26">
        <f t="shared" si="9"/>
        <v>0</v>
      </c>
      <c r="K26" s="1">
        <f t="shared" si="10"/>
        <v>0</v>
      </c>
      <c r="S26" t="s">
        <v>82</v>
      </c>
      <c r="T26" s="1"/>
      <c r="W26" s="1"/>
    </row>
    <row r="27" spans="1:23" x14ac:dyDescent="0.2">
      <c r="A27">
        <f t="shared" si="4"/>
        <v>11</v>
      </c>
      <c r="B27">
        <f t="shared" si="5"/>
        <v>0</v>
      </c>
      <c r="C27">
        <f t="shared" si="11"/>
        <v>0</v>
      </c>
      <c r="D27">
        <f t="shared" si="0"/>
        <v>0</v>
      </c>
      <c r="E27" s="1">
        <f t="shared" si="6"/>
        <v>0</v>
      </c>
      <c r="G27">
        <f t="shared" ref="G27" si="12">G26+1</f>
        <v>11</v>
      </c>
      <c r="H27">
        <f t="shared" si="1"/>
        <v>0</v>
      </c>
      <c r="I27">
        <f t="shared" si="8"/>
        <v>0</v>
      </c>
      <c r="J27">
        <f t="shared" si="9"/>
        <v>0</v>
      </c>
      <c r="K27" s="1">
        <f t="shared" si="10"/>
        <v>0</v>
      </c>
      <c r="T27" s="1"/>
      <c r="W27" s="1"/>
    </row>
    <row r="28" spans="1:23" x14ac:dyDescent="0.2">
      <c r="A28">
        <f>A27+1</f>
        <v>12</v>
      </c>
      <c r="B28">
        <f>$B$9+3</f>
        <v>3</v>
      </c>
      <c r="C28">
        <f t="shared" si="11"/>
        <v>0</v>
      </c>
      <c r="D28">
        <f t="shared" si="0"/>
        <v>3</v>
      </c>
      <c r="E28" s="1">
        <f t="shared" si="6"/>
        <v>-3</v>
      </c>
      <c r="G28">
        <f>G27+1</f>
        <v>12</v>
      </c>
      <c r="H28">
        <f t="shared" si="1"/>
        <v>0</v>
      </c>
      <c r="I28">
        <f t="shared" si="8"/>
        <v>0</v>
      </c>
      <c r="J28">
        <f t="shared" si="9"/>
        <v>0</v>
      </c>
      <c r="K28" s="1">
        <f t="shared" si="10"/>
        <v>0</v>
      </c>
      <c r="W28" s="1"/>
    </row>
    <row r="29" spans="1:23" x14ac:dyDescent="0.2">
      <c r="G29">
        <f t="shared" ref="G29:G36" si="13">G28+1</f>
        <v>13</v>
      </c>
      <c r="H29">
        <f t="shared" si="1"/>
        <v>0</v>
      </c>
      <c r="I29">
        <f t="shared" si="8"/>
        <v>0</v>
      </c>
      <c r="J29">
        <f t="shared" si="9"/>
        <v>0</v>
      </c>
      <c r="K29" s="1">
        <f t="shared" si="10"/>
        <v>0</v>
      </c>
      <c r="W29" s="1"/>
    </row>
    <row r="30" spans="1:23" x14ac:dyDescent="0.2">
      <c r="A30" s="16" t="s">
        <v>78</v>
      </c>
      <c r="B30" s="16"/>
      <c r="C30" s="16">
        <v>55000</v>
      </c>
      <c r="G30">
        <f t="shared" si="13"/>
        <v>14</v>
      </c>
      <c r="H30">
        <f t="shared" si="1"/>
        <v>0</v>
      </c>
      <c r="I30">
        <f t="shared" si="8"/>
        <v>0</v>
      </c>
      <c r="J30">
        <f t="shared" si="9"/>
        <v>0</v>
      </c>
      <c r="K30" s="1">
        <f t="shared" si="10"/>
        <v>0</v>
      </c>
      <c r="W30" s="1"/>
    </row>
    <row r="31" spans="1:23" x14ac:dyDescent="0.2">
      <c r="G31">
        <f t="shared" si="13"/>
        <v>15</v>
      </c>
      <c r="H31">
        <f t="shared" si="1"/>
        <v>0</v>
      </c>
      <c r="I31">
        <f t="shared" si="8"/>
        <v>0</v>
      </c>
      <c r="J31">
        <f t="shared" si="9"/>
        <v>0</v>
      </c>
      <c r="K31" s="1">
        <f t="shared" si="10"/>
        <v>0</v>
      </c>
      <c r="W31" s="1"/>
    </row>
    <row r="32" spans="1:23" x14ac:dyDescent="0.2">
      <c r="G32">
        <f t="shared" si="13"/>
        <v>16</v>
      </c>
      <c r="H32">
        <f t="shared" si="1"/>
        <v>0</v>
      </c>
      <c r="I32">
        <f t="shared" si="8"/>
        <v>0</v>
      </c>
      <c r="J32">
        <f t="shared" si="9"/>
        <v>0</v>
      </c>
      <c r="K32" s="1">
        <f t="shared" si="10"/>
        <v>0</v>
      </c>
      <c r="W32" s="1"/>
    </row>
    <row r="33" spans="1:23" x14ac:dyDescent="0.2">
      <c r="G33">
        <f t="shared" si="13"/>
        <v>17</v>
      </c>
      <c r="H33">
        <f t="shared" si="1"/>
        <v>0</v>
      </c>
      <c r="I33">
        <f t="shared" si="8"/>
        <v>0</v>
      </c>
      <c r="J33">
        <f t="shared" si="9"/>
        <v>0</v>
      </c>
      <c r="K33" s="1">
        <f t="shared" si="10"/>
        <v>0</v>
      </c>
      <c r="W33" s="1"/>
    </row>
    <row r="34" spans="1:23" x14ac:dyDescent="0.2">
      <c r="G34">
        <f t="shared" si="13"/>
        <v>18</v>
      </c>
      <c r="H34">
        <f t="shared" si="1"/>
        <v>0</v>
      </c>
      <c r="I34">
        <f t="shared" si="8"/>
        <v>0</v>
      </c>
      <c r="J34">
        <f t="shared" si="9"/>
        <v>0</v>
      </c>
      <c r="K34" s="1">
        <f t="shared" si="10"/>
        <v>0</v>
      </c>
      <c r="W34" s="1"/>
    </row>
    <row r="35" spans="1:23" x14ac:dyDescent="0.2">
      <c r="G35">
        <f>G34+1</f>
        <v>19</v>
      </c>
      <c r="H35">
        <f t="shared" si="1"/>
        <v>0</v>
      </c>
      <c r="I35">
        <f t="shared" si="8"/>
        <v>0</v>
      </c>
      <c r="J35">
        <f t="shared" si="9"/>
        <v>0</v>
      </c>
      <c r="K35" s="1">
        <f t="shared" si="10"/>
        <v>0</v>
      </c>
      <c r="W35" s="1"/>
    </row>
    <row r="36" spans="1:23" x14ac:dyDescent="0.2">
      <c r="G36">
        <f t="shared" si="13"/>
        <v>20</v>
      </c>
      <c r="H36" s="1">
        <f>$H$9+8</f>
        <v>8</v>
      </c>
      <c r="I36">
        <f t="shared" si="8"/>
        <v>0</v>
      </c>
      <c r="J36">
        <f t="shared" si="9"/>
        <v>8</v>
      </c>
      <c r="K36" s="1">
        <f t="shared" si="10"/>
        <v>-8</v>
      </c>
      <c r="W36" s="1"/>
    </row>
    <row r="37" spans="1:23" x14ac:dyDescent="0.2">
      <c r="G37" s="21" t="s">
        <v>78</v>
      </c>
      <c r="H37" s="21"/>
      <c r="I37" s="21">
        <v>82000</v>
      </c>
      <c r="T37" s="1"/>
      <c r="W37" s="1"/>
    </row>
    <row r="38" spans="1:23" x14ac:dyDescent="0.2">
      <c r="G38" s="21"/>
      <c r="H38" s="21"/>
      <c r="I38" s="21"/>
      <c r="T38" s="1"/>
      <c r="W38" s="1"/>
    </row>
    <row r="39" spans="1:23" x14ac:dyDescent="0.2">
      <c r="A39" s="64" t="s">
        <v>83</v>
      </c>
      <c r="B39" s="64"/>
      <c r="C39" s="64"/>
      <c r="D39" s="64"/>
      <c r="E39" s="64"/>
      <c r="F39" s="64"/>
      <c r="G39" s="64"/>
    </row>
    <row r="41" spans="1:23" x14ac:dyDescent="0.2">
      <c r="A41" t="s">
        <v>1</v>
      </c>
      <c r="B41" t="s">
        <v>13</v>
      </c>
      <c r="C41" t="s">
        <v>14</v>
      </c>
      <c r="D41" t="s">
        <v>15</v>
      </c>
      <c r="E41" t="s">
        <v>84</v>
      </c>
    </row>
    <row r="42" spans="1:23" x14ac:dyDescent="0.2">
      <c r="A42" t="str">
        <f>A3</f>
        <v>Linka Alex</v>
      </c>
      <c r="B42" s="1"/>
      <c r="C42" s="1"/>
      <c r="D42" s="1"/>
      <c r="E42" s="63" t="s">
        <v>85</v>
      </c>
      <c r="F42" s="63"/>
      <c r="G42" s="1"/>
    </row>
    <row r="43" spans="1:23" x14ac:dyDescent="0.2">
      <c r="A43" t="str">
        <f>G3</f>
        <v>Linka Fridurihhi</v>
      </c>
      <c r="B43" s="1"/>
      <c r="C43" s="1"/>
      <c r="D43" s="1"/>
      <c r="E43" s="63" t="s">
        <v>86</v>
      </c>
      <c r="F43" s="63"/>
      <c r="G43" s="1"/>
    </row>
    <row r="44" spans="1:23" x14ac:dyDescent="0.2">
      <c r="A44" t="str">
        <f>M3</f>
        <v>Linka Trudy</v>
      </c>
      <c r="B44" s="1"/>
      <c r="D44" s="1"/>
      <c r="E44" s="63"/>
      <c r="F44" s="63"/>
      <c r="G44" s="1"/>
    </row>
    <row r="45" spans="1:23" x14ac:dyDescent="0.2">
      <c r="A45" t="s">
        <v>87</v>
      </c>
      <c r="B45" s="1"/>
      <c r="C45" s="1"/>
      <c r="D45" s="1"/>
      <c r="E45" s="63"/>
      <c r="F45" s="63"/>
      <c r="G45" s="1"/>
    </row>
    <row r="46" spans="1:23" x14ac:dyDescent="0.2">
      <c r="G46" s="1"/>
    </row>
    <row r="47" spans="1:23" ht="17" thickBot="1" x14ac:dyDescent="0.25"/>
    <row r="48" spans="1:23" ht="17" thickTop="1" x14ac:dyDescent="0.2">
      <c r="A48" s="11" t="s">
        <v>88</v>
      </c>
      <c r="B48" s="33"/>
      <c r="C48" s="33"/>
      <c r="D48" s="13">
        <f>SUM(D42:D45)</f>
        <v>0</v>
      </c>
      <c r="E48" s="33"/>
      <c r="F48" s="33"/>
      <c r="G48" s="33"/>
    </row>
    <row r="49" spans="1:7" x14ac:dyDescent="0.2">
      <c r="A49" s="7" t="s">
        <v>89</v>
      </c>
      <c r="G49" s="1">
        <f>SUM(G42:G44)</f>
        <v>0</v>
      </c>
    </row>
    <row r="52" spans="1:7" x14ac:dyDescent="0.2">
      <c r="A52" s="65" t="s">
        <v>90</v>
      </c>
      <c r="B52" s="65"/>
      <c r="C52" s="65"/>
      <c r="D52" s="65"/>
      <c r="E52" s="65"/>
      <c r="F52" s="65"/>
      <c r="G52" s="65"/>
    </row>
    <row r="54" spans="1:7" x14ac:dyDescent="0.2">
      <c r="A54" t="s">
        <v>1</v>
      </c>
      <c r="B54" t="s">
        <v>91</v>
      </c>
      <c r="E54" t="s">
        <v>84</v>
      </c>
    </row>
    <row r="55" spans="1:7" x14ac:dyDescent="0.2">
      <c r="A55" t="s">
        <v>47</v>
      </c>
      <c r="B55" s="1"/>
      <c r="C55" s="1"/>
      <c r="D55" s="1"/>
      <c r="E55" s="63" t="s">
        <v>85</v>
      </c>
      <c r="F55" s="63"/>
      <c r="G55" s="1"/>
    </row>
    <row r="56" spans="1:7" x14ac:dyDescent="0.2">
      <c r="A56" t="s">
        <v>48</v>
      </c>
      <c r="B56" s="1"/>
      <c r="C56" s="1"/>
      <c r="D56" s="1"/>
      <c r="E56" s="63" t="s">
        <v>86</v>
      </c>
      <c r="F56" s="63"/>
      <c r="G56" s="1"/>
    </row>
    <row r="57" spans="1:7" x14ac:dyDescent="0.2">
      <c r="A57" t="s">
        <v>49</v>
      </c>
      <c r="B57" s="1"/>
      <c r="D57" s="1"/>
      <c r="E57" s="63" t="s">
        <v>92</v>
      </c>
      <c r="F57" s="63"/>
      <c r="G57" s="1"/>
    </row>
    <row r="58" spans="1:7" x14ac:dyDescent="0.2">
      <c r="A58" t="s">
        <v>87</v>
      </c>
      <c r="B58" s="1"/>
      <c r="C58" s="1"/>
      <c r="D58" s="1"/>
      <c r="E58" s="63"/>
      <c r="F58" s="63"/>
      <c r="G58" s="1"/>
    </row>
    <row r="59" spans="1:7" x14ac:dyDescent="0.2">
      <c r="A59" t="s">
        <v>53</v>
      </c>
      <c r="B59" s="1"/>
      <c r="G59" s="1"/>
    </row>
    <row r="60" spans="1:7" ht="17" thickBot="1" x14ac:dyDescent="0.25"/>
    <row r="61" spans="1:7" ht="17" thickTop="1" x14ac:dyDescent="0.2">
      <c r="A61" s="11" t="s">
        <v>88</v>
      </c>
      <c r="B61" s="33"/>
      <c r="C61" s="33"/>
      <c r="D61" s="13">
        <f>SUM(B55:B59)</f>
        <v>0</v>
      </c>
      <c r="E61" s="33"/>
      <c r="F61" s="33"/>
      <c r="G61" s="33"/>
    </row>
    <row r="62" spans="1:7" x14ac:dyDescent="0.2">
      <c r="A62" s="7" t="s">
        <v>89</v>
      </c>
      <c r="G62" s="6">
        <f>SUM(G55:G57)</f>
        <v>0</v>
      </c>
    </row>
  </sheetData>
  <mergeCells count="10">
    <mergeCell ref="E55:F55"/>
    <mergeCell ref="E56:F56"/>
    <mergeCell ref="E57:F57"/>
    <mergeCell ref="E58:F58"/>
    <mergeCell ref="A39:G39"/>
    <mergeCell ref="E42:F42"/>
    <mergeCell ref="E43:F43"/>
    <mergeCell ref="E44:F44"/>
    <mergeCell ref="E45:F45"/>
    <mergeCell ref="A52:G5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B4AC-7E4D-E845-921F-A0357EE306DA}">
  <dimension ref="A1:W61"/>
  <sheetViews>
    <sheetView topLeftCell="A23" zoomScale="110" zoomScaleNormal="110" workbookViewId="0">
      <selection activeCell="T26" sqref="T26"/>
    </sheetView>
  </sheetViews>
  <sheetFormatPr baseColWidth="10" defaultColWidth="11" defaultRowHeight="16" x14ac:dyDescent="0.2"/>
  <cols>
    <col min="1" max="1" width="36.5" customWidth="1"/>
    <col min="2" max="2" width="14.6640625" customWidth="1"/>
    <col min="3" max="3" width="11.6640625" customWidth="1"/>
    <col min="4" max="4" width="12" customWidth="1"/>
    <col min="5" max="5" width="13.6640625" customWidth="1"/>
    <col min="6" max="6" width="6" customWidth="1"/>
    <col min="7" max="7" width="36.5" customWidth="1"/>
    <col min="12" max="12" width="1.6640625" customWidth="1"/>
    <col min="13" max="13" width="36.83203125" customWidth="1"/>
    <col min="18" max="18" width="1.6640625" customWidth="1"/>
    <col min="19" max="19" width="36" customWidth="1"/>
    <col min="20" max="20" width="12.5" bestFit="1" customWidth="1"/>
  </cols>
  <sheetData>
    <row r="1" spans="1:23" x14ac:dyDescent="0.2">
      <c r="A1" t="s">
        <v>46</v>
      </c>
    </row>
    <row r="3" spans="1:23" ht="18" customHeight="1" x14ac:dyDescent="0.2">
      <c r="A3" s="22" t="s">
        <v>47</v>
      </c>
      <c r="G3" s="23" t="s">
        <v>48</v>
      </c>
      <c r="M3" s="25" t="s">
        <v>49</v>
      </c>
    </row>
    <row r="4" spans="1:23" x14ac:dyDescent="0.2">
      <c r="A4" t="s">
        <v>50</v>
      </c>
      <c r="B4">
        <v>2</v>
      </c>
      <c r="C4" t="s">
        <v>31</v>
      </c>
      <c r="D4" s="24" t="s">
        <v>51</v>
      </c>
      <c r="G4" t="s">
        <v>50</v>
      </c>
      <c r="H4">
        <v>1</v>
      </c>
      <c r="I4" t="s">
        <v>52</v>
      </c>
      <c r="J4" s="21" t="s">
        <v>51</v>
      </c>
      <c r="M4" t="s">
        <v>50</v>
      </c>
      <c r="N4">
        <v>3</v>
      </c>
      <c r="O4" t="s">
        <v>52</v>
      </c>
      <c r="P4" s="26" t="s">
        <v>51</v>
      </c>
      <c r="S4" s="31" t="s">
        <v>53</v>
      </c>
    </row>
    <row r="5" spans="1:23" x14ac:dyDescent="0.2">
      <c r="A5" t="s">
        <v>54</v>
      </c>
      <c r="B5">
        <v>2</v>
      </c>
      <c r="C5" t="s">
        <v>31</v>
      </c>
      <c r="G5" t="s">
        <v>54</v>
      </c>
      <c r="H5">
        <v>5</v>
      </c>
      <c r="I5" t="s">
        <v>29</v>
      </c>
      <c r="M5" t="s">
        <v>54</v>
      </c>
      <c r="N5">
        <v>2</v>
      </c>
      <c r="O5" t="s">
        <v>29</v>
      </c>
      <c r="S5" t="s">
        <v>50</v>
      </c>
      <c r="T5">
        <v>4</v>
      </c>
      <c r="U5" t="s">
        <v>52</v>
      </c>
      <c r="V5" s="29" t="s">
        <v>51</v>
      </c>
    </row>
    <row r="6" spans="1:23" x14ac:dyDescent="0.2">
      <c r="A6" t="s">
        <v>55</v>
      </c>
      <c r="B6" s="1">
        <v>87000</v>
      </c>
      <c r="G6" t="s">
        <v>55</v>
      </c>
      <c r="H6" s="1">
        <v>94000</v>
      </c>
      <c r="M6" t="s">
        <v>55</v>
      </c>
      <c r="N6" s="1">
        <v>79000</v>
      </c>
      <c r="S6" t="s">
        <v>54</v>
      </c>
      <c r="T6">
        <v>3</v>
      </c>
      <c r="U6" t="s">
        <v>29</v>
      </c>
    </row>
    <row r="7" spans="1:23" x14ac:dyDescent="0.2">
      <c r="A7" t="s">
        <v>56</v>
      </c>
      <c r="B7" s="3">
        <v>0.75</v>
      </c>
      <c r="G7" t="s">
        <v>56</v>
      </c>
      <c r="H7" s="3">
        <v>0.65</v>
      </c>
      <c r="M7" t="s">
        <v>56</v>
      </c>
      <c r="N7" s="3">
        <v>0</v>
      </c>
      <c r="S7" t="s">
        <v>55</v>
      </c>
      <c r="T7" s="1">
        <v>102000</v>
      </c>
    </row>
    <row r="8" spans="1:23" x14ac:dyDescent="0.2">
      <c r="A8" t="s">
        <v>57</v>
      </c>
      <c r="B8" s="20">
        <f>B7*B6</f>
        <v>65250</v>
      </c>
      <c r="G8" t="s">
        <v>57</v>
      </c>
      <c r="H8" s="19">
        <f>H7*H6</f>
        <v>61100</v>
      </c>
      <c r="M8" t="s">
        <v>57</v>
      </c>
      <c r="N8" s="27">
        <f>N7*N6</f>
        <v>0</v>
      </c>
      <c r="S8" t="s">
        <v>58</v>
      </c>
      <c r="T8">
        <v>6</v>
      </c>
    </row>
    <row r="9" spans="1:23" x14ac:dyDescent="0.2">
      <c r="A9" t="s">
        <v>60</v>
      </c>
      <c r="B9">
        <f>ROUND(B13/B12*B8,)</f>
        <v>5866</v>
      </c>
      <c r="G9" t="s">
        <v>60</v>
      </c>
      <c r="H9">
        <f>ROUND(H13/H12*H8,)</f>
        <v>3377</v>
      </c>
      <c r="S9" t="s">
        <v>61</v>
      </c>
      <c r="T9" s="15">
        <v>0.2</v>
      </c>
    </row>
    <row r="10" spans="1:23" x14ac:dyDescent="0.2">
      <c r="A10" t="s">
        <v>62</v>
      </c>
      <c r="B10" s="15">
        <v>4.7500000000000001E-2</v>
      </c>
      <c r="G10" t="s">
        <v>62</v>
      </c>
      <c r="H10" s="15">
        <v>3.9E-2</v>
      </c>
      <c r="N10" s="15"/>
      <c r="S10" t="s">
        <v>63</v>
      </c>
      <c r="T10">
        <v>1.175</v>
      </c>
    </row>
    <row r="11" spans="1:23" x14ac:dyDescent="0.2">
      <c r="A11" t="s">
        <v>64</v>
      </c>
      <c r="B11">
        <v>12</v>
      </c>
      <c r="G11" t="s">
        <v>64</v>
      </c>
      <c r="H11">
        <v>20</v>
      </c>
      <c r="S11" t="s">
        <v>65</v>
      </c>
      <c r="T11" s="1">
        <f>T10*(1-T9)*T7</f>
        <v>95880</v>
      </c>
    </row>
    <row r="12" spans="1:23" x14ac:dyDescent="0.2">
      <c r="A12" s="17" t="s">
        <v>66</v>
      </c>
      <c r="B12">
        <f>((((1+(B10/4))^B11))-1)</f>
        <v>0.15218546748638317</v>
      </c>
      <c r="G12" s="17" t="s">
        <v>66</v>
      </c>
      <c r="H12">
        <f>((((1+(H10/4))^H11))-1)</f>
        <v>0.21416367837377392</v>
      </c>
      <c r="M12" s="17"/>
      <c r="S12" t="s">
        <v>67</v>
      </c>
      <c r="T12">
        <v>0</v>
      </c>
    </row>
    <row r="13" spans="1:23" x14ac:dyDescent="0.2">
      <c r="A13" s="17" t="s">
        <v>68</v>
      </c>
      <c r="B13">
        <f>(B10/4)*((1+(B10/4))^B11)</f>
        <v>1.3682202426400801E-2</v>
      </c>
      <c r="G13" s="17" t="s">
        <v>68</v>
      </c>
      <c r="H13">
        <f>(H10/4)*((1+(H10/4))^H11)</f>
        <v>1.1838095864144296E-2</v>
      </c>
      <c r="M13" s="17"/>
    </row>
    <row r="14" spans="1:23" ht="5" customHeight="1" x14ac:dyDescent="0.2">
      <c r="A14" s="4"/>
      <c r="B14" s="4"/>
      <c r="C14" s="4"/>
      <c r="D14" s="4"/>
      <c r="E14" s="4"/>
      <c r="G14" s="18"/>
      <c r="H14" s="18"/>
      <c r="I14" s="18"/>
      <c r="J14" s="18"/>
      <c r="K14" s="18"/>
      <c r="M14" s="28"/>
      <c r="N14" s="28"/>
      <c r="O14" s="28"/>
      <c r="P14" s="28"/>
      <c r="Q14" s="28"/>
      <c r="S14" s="30"/>
      <c r="T14" s="30"/>
      <c r="U14" s="30"/>
      <c r="V14" s="30"/>
      <c r="W14" s="30"/>
    </row>
    <row r="15" spans="1:23" x14ac:dyDescent="0.2">
      <c r="A15" s="7" t="s">
        <v>69</v>
      </c>
      <c r="G15" s="7" t="s">
        <v>70</v>
      </c>
      <c r="M15" s="7"/>
      <c r="S15" t="s">
        <v>71</v>
      </c>
      <c r="T15" t="s">
        <v>72</v>
      </c>
    </row>
    <row r="16" spans="1:23" x14ac:dyDescent="0.2">
      <c r="A16" t="s">
        <v>73</v>
      </c>
      <c r="B16" t="s">
        <v>74</v>
      </c>
      <c r="C16" t="s">
        <v>75</v>
      </c>
      <c r="D16" t="s">
        <v>76</v>
      </c>
      <c r="E16" t="s">
        <v>77</v>
      </c>
      <c r="G16" t="s">
        <v>73</v>
      </c>
      <c r="H16" t="s">
        <v>74</v>
      </c>
      <c r="I16" t="s">
        <v>75</v>
      </c>
      <c r="J16" t="s">
        <v>76</v>
      </c>
      <c r="K16" t="s">
        <v>77</v>
      </c>
      <c r="M16" t="s">
        <v>78</v>
      </c>
      <c r="O16">
        <v>24000</v>
      </c>
      <c r="S16">
        <v>1</v>
      </c>
      <c r="T16" s="1">
        <f>((1-T9)*T7*T10)/T8</f>
        <v>15980</v>
      </c>
    </row>
    <row r="17" spans="1:23" x14ac:dyDescent="0.2">
      <c r="A17">
        <v>1</v>
      </c>
      <c r="B17">
        <f>B9</f>
        <v>5866</v>
      </c>
      <c r="C17">
        <f>ROUND((B10/4)*B8,)</f>
        <v>775</v>
      </c>
      <c r="D17">
        <f>B17-C17</f>
        <v>5091</v>
      </c>
      <c r="E17" s="1">
        <f>B8-D17</f>
        <v>60159</v>
      </c>
      <c r="G17">
        <v>1</v>
      </c>
      <c r="H17">
        <f>$H$9</f>
        <v>3377</v>
      </c>
      <c r="I17">
        <f>ROUND((H10/4)*H8,)</f>
        <v>596</v>
      </c>
      <c r="J17">
        <f>H17-I17</f>
        <v>2781</v>
      </c>
      <c r="K17" s="1">
        <f>H8-J17</f>
        <v>58319</v>
      </c>
      <c r="Q17" s="1"/>
      <c r="S17">
        <f>S16+1</f>
        <v>2</v>
      </c>
      <c r="T17" s="1">
        <f>T16</f>
        <v>15980</v>
      </c>
    </row>
    <row r="18" spans="1:23" x14ac:dyDescent="0.2">
      <c r="A18">
        <f>A17+1</f>
        <v>2</v>
      </c>
      <c r="B18">
        <f>$B$9</f>
        <v>5866</v>
      </c>
      <c r="C18">
        <f>ROUND(($B$10/4)*E17,)</f>
        <v>714</v>
      </c>
      <c r="D18">
        <f t="shared" ref="D18:D28" si="0">B18-C18</f>
        <v>5152</v>
      </c>
      <c r="E18" s="1">
        <f>E17-D18</f>
        <v>55007</v>
      </c>
      <c r="G18">
        <f>G17+1</f>
        <v>2</v>
      </c>
      <c r="H18">
        <f t="shared" ref="H18:H35" si="1">$H$9</f>
        <v>3377</v>
      </c>
      <c r="I18">
        <f>ROUND(($H$10/4)*K17,)</f>
        <v>569</v>
      </c>
      <c r="J18">
        <f>H18-I18</f>
        <v>2808</v>
      </c>
      <c r="K18" s="1">
        <f>K17-J18</f>
        <v>55511</v>
      </c>
      <c r="Q18" s="1"/>
      <c r="S18">
        <f t="shared" ref="S18:S20" si="2">S17+1</f>
        <v>3</v>
      </c>
      <c r="T18" s="1">
        <f t="shared" ref="T18:T21" si="3">T17</f>
        <v>15980</v>
      </c>
    </row>
    <row r="19" spans="1:23" x14ac:dyDescent="0.2">
      <c r="A19">
        <f t="shared" ref="A19:A27" si="4">A18+1</f>
        <v>3</v>
      </c>
      <c r="B19">
        <f t="shared" ref="B19:B27" si="5">$B$9</f>
        <v>5866</v>
      </c>
      <c r="C19">
        <f>ROUND(($B$10/4)*E18,)</f>
        <v>653</v>
      </c>
      <c r="D19">
        <f t="shared" si="0"/>
        <v>5213</v>
      </c>
      <c r="E19" s="1">
        <f t="shared" ref="E19:E28" si="6">E18-D19</f>
        <v>49794</v>
      </c>
      <c r="G19">
        <f t="shared" ref="G19:G25" si="7">G18+1</f>
        <v>3</v>
      </c>
      <c r="H19">
        <f t="shared" si="1"/>
        <v>3377</v>
      </c>
      <c r="I19">
        <f t="shared" ref="I19:I33" si="8">ROUND(($H$10/4)*K18,)</f>
        <v>541</v>
      </c>
      <c r="J19">
        <f t="shared" ref="J19:J33" si="9">H19-I19</f>
        <v>2836</v>
      </c>
      <c r="K19" s="1">
        <f t="shared" ref="K19:K33" si="10">K18-J19</f>
        <v>52675</v>
      </c>
      <c r="Q19" s="1"/>
      <c r="S19">
        <f t="shared" si="2"/>
        <v>4</v>
      </c>
      <c r="T19" s="1">
        <f t="shared" si="3"/>
        <v>15980</v>
      </c>
    </row>
    <row r="20" spans="1:23" x14ac:dyDescent="0.2">
      <c r="A20">
        <f t="shared" si="4"/>
        <v>4</v>
      </c>
      <c r="B20">
        <f t="shared" si="5"/>
        <v>5866</v>
      </c>
      <c r="C20">
        <f t="shared" ref="C20:C28" si="11">ROUND(($B$10/4)*E19,)</f>
        <v>591</v>
      </c>
      <c r="D20">
        <f t="shared" si="0"/>
        <v>5275</v>
      </c>
      <c r="E20" s="1">
        <f t="shared" si="6"/>
        <v>44519</v>
      </c>
      <c r="G20">
        <f t="shared" si="7"/>
        <v>4</v>
      </c>
      <c r="H20">
        <f t="shared" si="1"/>
        <v>3377</v>
      </c>
      <c r="I20">
        <f t="shared" si="8"/>
        <v>514</v>
      </c>
      <c r="J20">
        <f t="shared" si="9"/>
        <v>2863</v>
      </c>
      <c r="K20" s="1">
        <f t="shared" si="10"/>
        <v>49812</v>
      </c>
      <c r="Q20" s="1"/>
      <c r="S20">
        <f t="shared" si="2"/>
        <v>5</v>
      </c>
      <c r="T20" s="1">
        <f t="shared" si="3"/>
        <v>15980</v>
      </c>
      <c r="W20" s="1"/>
    </row>
    <row r="21" spans="1:23" x14ac:dyDescent="0.2">
      <c r="A21">
        <f t="shared" si="4"/>
        <v>5</v>
      </c>
      <c r="B21">
        <f t="shared" si="5"/>
        <v>5866</v>
      </c>
      <c r="C21">
        <f t="shared" si="11"/>
        <v>529</v>
      </c>
      <c r="D21">
        <f t="shared" si="0"/>
        <v>5337</v>
      </c>
      <c r="E21" s="1">
        <f t="shared" si="6"/>
        <v>39182</v>
      </c>
      <c r="G21">
        <f t="shared" si="7"/>
        <v>5</v>
      </c>
      <c r="H21">
        <f t="shared" si="1"/>
        <v>3377</v>
      </c>
      <c r="I21">
        <f t="shared" si="8"/>
        <v>486</v>
      </c>
      <c r="J21">
        <f t="shared" si="9"/>
        <v>2891</v>
      </c>
      <c r="K21" s="1">
        <f t="shared" si="10"/>
        <v>46921</v>
      </c>
      <c r="S21">
        <f>S20+1</f>
        <v>6</v>
      </c>
      <c r="T21" s="1">
        <f t="shared" si="3"/>
        <v>15980</v>
      </c>
      <c r="W21" s="1"/>
    </row>
    <row r="22" spans="1:23" x14ac:dyDescent="0.2">
      <c r="A22">
        <f t="shared" si="4"/>
        <v>6</v>
      </c>
      <c r="B22">
        <f t="shared" si="5"/>
        <v>5866</v>
      </c>
      <c r="C22">
        <f t="shared" si="11"/>
        <v>465</v>
      </c>
      <c r="D22">
        <f t="shared" si="0"/>
        <v>5401</v>
      </c>
      <c r="E22" s="1">
        <f t="shared" si="6"/>
        <v>33781</v>
      </c>
      <c r="G22">
        <f t="shared" si="7"/>
        <v>6</v>
      </c>
      <c r="H22">
        <f t="shared" si="1"/>
        <v>3377</v>
      </c>
      <c r="I22">
        <f t="shared" si="8"/>
        <v>457</v>
      </c>
      <c r="J22">
        <f t="shared" si="9"/>
        <v>2920</v>
      </c>
      <c r="K22" s="1">
        <f t="shared" si="10"/>
        <v>44001</v>
      </c>
      <c r="T22" s="1"/>
      <c r="W22" s="1"/>
    </row>
    <row r="23" spans="1:23" x14ac:dyDescent="0.2">
      <c r="A23">
        <f t="shared" si="4"/>
        <v>7</v>
      </c>
      <c r="B23">
        <f t="shared" si="5"/>
        <v>5866</v>
      </c>
      <c r="C23">
        <f t="shared" si="11"/>
        <v>401</v>
      </c>
      <c r="D23">
        <f t="shared" si="0"/>
        <v>5465</v>
      </c>
      <c r="E23" s="1">
        <f t="shared" si="6"/>
        <v>28316</v>
      </c>
      <c r="G23">
        <f t="shared" si="7"/>
        <v>7</v>
      </c>
      <c r="H23">
        <f t="shared" si="1"/>
        <v>3377</v>
      </c>
      <c r="I23">
        <f t="shared" si="8"/>
        <v>429</v>
      </c>
      <c r="J23">
        <f t="shared" si="9"/>
        <v>2948</v>
      </c>
      <c r="K23" s="1">
        <f t="shared" si="10"/>
        <v>41053</v>
      </c>
      <c r="S23" s="32" t="s">
        <v>79</v>
      </c>
      <c r="T23" s="1"/>
      <c r="W23" s="1"/>
    </row>
    <row r="24" spans="1:23" x14ac:dyDescent="0.2">
      <c r="A24">
        <f t="shared" si="4"/>
        <v>8</v>
      </c>
      <c r="B24">
        <f t="shared" si="5"/>
        <v>5866</v>
      </c>
      <c r="C24">
        <f t="shared" si="11"/>
        <v>336</v>
      </c>
      <c r="D24">
        <f t="shared" si="0"/>
        <v>5530</v>
      </c>
      <c r="E24" s="1">
        <f t="shared" si="6"/>
        <v>22786</v>
      </c>
      <c r="G24">
        <f t="shared" si="7"/>
        <v>8</v>
      </c>
      <c r="H24">
        <f t="shared" si="1"/>
        <v>3377</v>
      </c>
      <c r="I24">
        <f t="shared" si="8"/>
        <v>400</v>
      </c>
      <c r="J24">
        <f t="shared" si="9"/>
        <v>2977</v>
      </c>
      <c r="K24" s="1">
        <f t="shared" si="10"/>
        <v>38076</v>
      </c>
      <c r="S24" t="s">
        <v>80</v>
      </c>
      <c r="T24" s="1">
        <v>75000</v>
      </c>
      <c r="W24" s="1"/>
    </row>
    <row r="25" spans="1:23" x14ac:dyDescent="0.2">
      <c r="A25">
        <f t="shared" si="4"/>
        <v>9</v>
      </c>
      <c r="B25">
        <f t="shared" si="5"/>
        <v>5866</v>
      </c>
      <c r="C25">
        <f t="shared" si="11"/>
        <v>271</v>
      </c>
      <c r="D25">
        <f t="shared" si="0"/>
        <v>5595</v>
      </c>
      <c r="E25" s="1">
        <f t="shared" si="6"/>
        <v>17191</v>
      </c>
      <c r="G25">
        <f t="shared" si="7"/>
        <v>9</v>
      </c>
      <c r="H25">
        <f t="shared" si="1"/>
        <v>3377</v>
      </c>
      <c r="I25">
        <f t="shared" si="8"/>
        <v>371</v>
      </c>
      <c r="J25">
        <f t="shared" si="9"/>
        <v>3006</v>
      </c>
      <c r="K25" s="1">
        <f t="shared" si="10"/>
        <v>35070</v>
      </c>
      <c r="S25" t="s">
        <v>81</v>
      </c>
      <c r="T25" s="1">
        <f>SUM(T20:T21)</f>
        <v>31960</v>
      </c>
      <c r="W25" s="1"/>
    </row>
    <row r="26" spans="1:23" x14ac:dyDescent="0.2">
      <c r="A26">
        <f>A25+1</f>
        <v>10</v>
      </c>
      <c r="B26">
        <f t="shared" si="5"/>
        <v>5866</v>
      </c>
      <c r="C26">
        <f t="shared" si="11"/>
        <v>204</v>
      </c>
      <c r="D26">
        <f t="shared" si="0"/>
        <v>5662</v>
      </c>
      <c r="E26" s="1">
        <f t="shared" si="6"/>
        <v>11529</v>
      </c>
      <c r="G26">
        <f>G25+1</f>
        <v>10</v>
      </c>
      <c r="H26">
        <f t="shared" si="1"/>
        <v>3377</v>
      </c>
      <c r="I26">
        <f t="shared" si="8"/>
        <v>342</v>
      </c>
      <c r="J26">
        <f t="shared" si="9"/>
        <v>3035</v>
      </c>
      <c r="K26" s="1">
        <f t="shared" si="10"/>
        <v>32035</v>
      </c>
      <c r="S26" t="s">
        <v>82</v>
      </c>
      <c r="T26" s="1"/>
      <c r="W26" s="1"/>
    </row>
    <row r="27" spans="1:23" x14ac:dyDescent="0.2">
      <c r="A27">
        <f t="shared" si="4"/>
        <v>11</v>
      </c>
      <c r="B27">
        <f t="shared" si="5"/>
        <v>5866</v>
      </c>
      <c r="C27">
        <f t="shared" si="11"/>
        <v>137</v>
      </c>
      <c r="D27">
        <f t="shared" si="0"/>
        <v>5729</v>
      </c>
      <c r="E27" s="1">
        <f t="shared" si="6"/>
        <v>5800</v>
      </c>
      <c r="G27">
        <f t="shared" ref="G27" si="12">G26+1</f>
        <v>11</v>
      </c>
      <c r="H27">
        <f t="shared" si="1"/>
        <v>3377</v>
      </c>
      <c r="I27">
        <f t="shared" si="8"/>
        <v>312</v>
      </c>
      <c r="J27">
        <f t="shared" si="9"/>
        <v>3065</v>
      </c>
      <c r="K27" s="1">
        <f t="shared" si="10"/>
        <v>28970</v>
      </c>
      <c r="T27" s="1"/>
      <c r="W27" s="1"/>
    </row>
    <row r="28" spans="1:23" x14ac:dyDescent="0.2">
      <c r="A28">
        <f>A27+1</f>
        <v>12</v>
      </c>
      <c r="B28">
        <f>$B$9+3</f>
        <v>5869</v>
      </c>
      <c r="C28">
        <f t="shared" si="11"/>
        <v>69</v>
      </c>
      <c r="D28">
        <f t="shared" si="0"/>
        <v>5800</v>
      </c>
      <c r="E28" s="1">
        <f t="shared" si="6"/>
        <v>0</v>
      </c>
      <c r="G28">
        <f>G27+1</f>
        <v>12</v>
      </c>
      <c r="H28">
        <f t="shared" si="1"/>
        <v>3377</v>
      </c>
      <c r="I28">
        <f t="shared" si="8"/>
        <v>282</v>
      </c>
      <c r="J28">
        <f t="shared" si="9"/>
        <v>3095</v>
      </c>
      <c r="K28" s="1">
        <f t="shared" si="10"/>
        <v>25875</v>
      </c>
      <c r="W28" s="1"/>
    </row>
    <row r="29" spans="1:23" x14ac:dyDescent="0.2">
      <c r="G29">
        <f t="shared" ref="G29:G36" si="13">G28+1</f>
        <v>13</v>
      </c>
      <c r="H29">
        <f t="shared" si="1"/>
        <v>3377</v>
      </c>
      <c r="I29">
        <f t="shared" si="8"/>
        <v>252</v>
      </c>
      <c r="J29">
        <f t="shared" si="9"/>
        <v>3125</v>
      </c>
      <c r="K29" s="1">
        <f t="shared" si="10"/>
        <v>22750</v>
      </c>
      <c r="W29" s="1"/>
    </row>
    <row r="30" spans="1:23" x14ac:dyDescent="0.2">
      <c r="A30" t="s">
        <v>78</v>
      </c>
      <c r="C30">
        <v>55000</v>
      </c>
      <c r="G30">
        <f t="shared" si="13"/>
        <v>14</v>
      </c>
      <c r="H30">
        <f t="shared" si="1"/>
        <v>3377</v>
      </c>
      <c r="I30">
        <f t="shared" si="8"/>
        <v>222</v>
      </c>
      <c r="J30">
        <f t="shared" si="9"/>
        <v>3155</v>
      </c>
      <c r="K30" s="1">
        <f t="shared" si="10"/>
        <v>19595</v>
      </c>
      <c r="W30" s="1"/>
    </row>
    <row r="31" spans="1:23" x14ac:dyDescent="0.2">
      <c r="G31">
        <f t="shared" si="13"/>
        <v>15</v>
      </c>
      <c r="H31">
        <f t="shared" si="1"/>
        <v>3377</v>
      </c>
      <c r="I31">
        <f t="shared" si="8"/>
        <v>191</v>
      </c>
      <c r="J31">
        <f t="shared" si="9"/>
        <v>3186</v>
      </c>
      <c r="K31" s="1">
        <f t="shared" si="10"/>
        <v>16409</v>
      </c>
      <c r="W31" s="1"/>
    </row>
    <row r="32" spans="1:23" x14ac:dyDescent="0.2">
      <c r="G32">
        <f t="shared" si="13"/>
        <v>16</v>
      </c>
      <c r="H32">
        <f t="shared" si="1"/>
        <v>3377</v>
      </c>
      <c r="I32">
        <f t="shared" si="8"/>
        <v>160</v>
      </c>
      <c r="J32">
        <f t="shared" si="9"/>
        <v>3217</v>
      </c>
      <c r="K32" s="1">
        <f t="shared" si="10"/>
        <v>13192</v>
      </c>
      <c r="W32" s="1"/>
    </row>
    <row r="33" spans="1:23" x14ac:dyDescent="0.2">
      <c r="G33">
        <f t="shared" si="13"/>
        <v>17</v>
      </c>
      <c r="H33">
        <f t="shared" si="1"/>
        <v>3377</v>
      </c>
      <c r="I33">
        <f t="shared" si="8"/>
        <v>129</v>
      </c>
      <c r="J33">
        <f t="shared" si="9"/>
        <v>3248</v>
      </c>
      <c r="K33" s="1">
        <f t="shared" si="10"/>
        <v>9944</v>
      </c>
      <c r="W33" s="1"/>
    </row>
    <row r="34" spans="1:23" x14ac:dyDescent="0.2">
      <c r="G34">
        <f t="shared" si="13"/>
        <v>18</v>
      </c>
      <c r="H34">
        <f t="shared" si="1"/>
        <v>3377</v>
      </c>
      <c r="I34">
        <f t="shared" ref="I34:I36" si="14">ROUND(($H$10/4)*K33,)</f>
        <v>97</v>
      </c>
      <c r="J34">
        <f t="shared" ref="J34:J36" si="15">H34-I34</f>
        <v>3280</v>
      </c>
      <c r="K34" s="1">
        <f t="shared" ref="K34:K36" si="16">K33-J34</f>
        <v>6664</v>
      </c>
      <c r="W34" s="1"/>
    </row>
    <row r="35" spans="1:23" x14ac:dyDescent="0.2">
      <c r="G35">
        <f>G34+1</f>
        <v>19</v>
      </c>
      <c r="H35">
        <f t="shared" si="1"/>
        <v>3377</v>
      </c>
      <c r="I35">
        <f t="shared" si="14"/>
        <v>65</v>
      </c>
      <c r="J35">
        <f t="shared" si="15"/>
        <v>3312</v>
      </c>
      <c r="K35" s="1">
        <f t="shared" si="16"/>
        <v>3352</v>
      </c>
      <c r="W35" s="1"/>
    </row>
    <row r="36" spans="1:23" x14ac:dyDescent="0.2">
      <c r="G36">
        <f t="shared" si="13"/>
        <v>20</v>
      </c>
      <c r="H36" s="1">
        <f>$H$9+8</f>
        <v>3385</v>
      </c>
      <c r="I36">
        <f t="shared" si="14"/>
        <v>33</v>
      </c>
      <c r="J36">
        <f t="shared" si="15"/>
        <v>3352</v>
      </c>
      <c r="K36" s="1">
        <f t="shared" si="16"/>
        <v>0</v>
      </c>
      <c r="W36" s="1"/>
    </row>
    <row r="37" spans="1:23" x14ac:dyDescent="0.2">
      <c r="G37" t="s">
        <v>78</v>
      </c>
      <c r="I37">
        <v>82000</v>
      </c>
      <c r="T37" s="1"/>
      <c r="W37" s="1"/>
    </row>
    <row r="38" spans="1:23" x14ac:dyDescent="0.2">
      <c r="A38" s="64" t="s">
        <v>83</v>
      </c>
      <c r="B38" s="64"/>
      <c r="C38" s="64"/>
      <c r="D38" s="64"/>
      <c r="E38" s="64"/>
      <c r="F38" s="64"/>
      <c r="G38" s="64"/>
    </row>
    <row r="40" spans="1:23" x14ac:dyDescent="0.2">
      <c r="A40" t="s">
        <v>1</v>
      </c>
      <c r="B40" t="s">
        <v>13</v>
      </c>
      <c r="C40" t="s">
        <v>14</v>
      </c>
      <c r="D40" t="s">
        <v>15</v>
      </c>
      <c r="E40" t="s">
        <v>84</v>
      </c>
    </row>
    <row r="41" spans="1:23" x14ac:dyDescent="0.2">
      <c r="A41" t="str">
        <f>A3</f>
        <v>Linka Alex</v>
      </c>
      <c r="B41" s="1">
        <f>B6</f>
        <v>87000</v>
      </c>
      <c r="C41" s="1">
        <f>B41/(B4+B5)*B4</f>
        <v>43500</v>
      </c>
      <c r="D41" s="1">
        <f>B41-C41</f>
        <v>43500</v>
      </c>
      <c r="E41" s="63" t="s">
        <v>85</v>
      </c>
      <c r="F41" s="63"/>
      <c r="G41" s="1">
        <f>E24</f>
        <v>22786</v>
      </c>
    </row>
    <row r="42" spans="1:23" x14ac:dyDescent="0.2">
      <c r="A42" t="str">
        <f>G3</f>
        <v>Linka Fridurihhi</v>
      </c>
      <c r="B42" s="1">
        <f>H6</f>
        <v>94000</v>
      </c>
      <c r="C42" s="1">
        <f>ROUND((B42/(H4+H5)*H4),)</f>
        <v>15667</v>
      </c>
      <c r="D42" s="1">
        <f>B42-C42</f>
        <v>78333</v>
      </c>
      <c r="E42" s="63" t="s">
        <v>86</v>
      </c>
      <c r="F42" s="63"/>
      <c r="G42" s="1">
        <f>K20</f>
        <v>49812</v>
      </c>
    </row>
    <row r="43" spans="1:23" x14ac:dyDescent="0.2">
      <c r="A43" t="str">
        <f>M3</f>
        <v>Linka Trudy</v>
      </c>
      <c r="B43" s="1">
        <f>N6</f>
        <v>79000</v>
      </c>
      <c r="C43">
        <f>B43/(N4+N5)*N4</f>
        <v>47400</v>
      </c>
      <c r="D43" s="1">
        <f>B43-C43</f>
        <v>31600</v>
      </c>
      <c r="E43" s="63"/>
      <c r="F43" s="63"/>
      <c r="G43" s="1"/>
    </row>
    <row r="44" spans="1:23" x14ac:dyDescent="0.2">
      <c r="A44" t="s">
        <v>87</v>
      </c>
      <c r="B44" s="1">
        <f>T9*T7</f>
        <v>20400</v>
      </c>
      <c r="C44" s="1">
        <f>(B44/T8)*T5</f>
        <v>13600</v>
      </c>
      <c r="D44" s="1">
        <f>B44-C44</f>
        <v>6800</v>
      </c>
      <c r="E44" s="63"/>
      <c r="F44" s="63"/>
      <c r="G44" s="1"/>
    </row>
    <row r="45" spans="1:23" x14ac:dyDescent="0.2">
      <c r="G45" s="1"/>
    </row>
    <row r="46" spans="1:23" ht="17" thickBot="1" x14ac:dyDescent="0.25"/>
    <row r="47" spans="1:23" ht="17" thickTop="1" x14ac:dyDescent="0.2">
      <c r="A47" s="11" t="s">
        <v>88</v>
      </c>
      <c r="B47" s="33"/>
      <c r="C47" s="33"/>
      <c r="D47" s="13">
        <f>SUM(D41:D44)</f>
        <v>160233</v>
      </c>
      <c r="E47" s="33"/>
      <c r="F47" s="33"/>
      <c r="G47" s="33"/>
    </row>
    <row r="48" spans="1:23" x14ac:dyDescent="0.2">
      <c r="A48" s="7" t="s">
        <v>89</v>
      </c>
      <c r="G48" s="1">
        <f>SUM(G41:G43)</f>
        <v>72598</v>
      </c>
    </row>
    <row r="51" spans="1:7" x14ac:dyDescent="0.2">
      <c r="A51" s="65" t="s">
        <v>90</v>
      </c>
      <c r="B51" s="65"/>
      <c r="C51" s="65"/>
      <c r="D51" s="65"/>
      <c r="E51" s="65"/>
      <c r="F51" s="65"/>
      <c r="G51" s="65"/>
    </row>
    <row r="53" spans="1:7" x14ac:dyDescent="0.2">
      <c r="A53" t="s">
        <v>1</v>
      </c>
      <c r="B53" t="s">
        <v>91</v>
      </c>
      <c r="E53" t="s">
        <v>84</v>
      </c>
    </row>
    <row r="54" spans="1:7" x14ac:dyDescent="0.2">
      <c r="A54" t="s">
        <v>47</v>
      </c>
      <c r="B54" s="1">
        <f>C30</f>
        <v>55000</v>
      </c>
      <c r="C54" s="1"/>
      <c r="D54" s="1"/>
      <c r="E54" s="63" t="s">
        <v>85</v>
      </c>
      <c r="F54" s="63"/>
      <c r="G54" s="1">
        <v>22786</v>
      </c>
    </row>
    <row r="55" spans="1:7" x14ac:dyDescent="0.2">
      <c r="A55" t="s">
        <v>48</v>
      </c>
      <c r="B55" s="1">
        <f>I37</f>
        <v>82000</v>
      </c>
      <c r="C55" s="1"/>
      <c r="D55" s="1"/>
      <c r="E55" s="63" t="s">
        <v>86</v>
      </c>
      <c r="F55" s="63"/>
      <c r="G55" s="1">
        <v>49812</v>
      </c>
    </row>
    <row r="56" spans="1:7" x14ac:dyDescent="0.2">
      <c r="A56" t="s">
        <v>49</v>
      </c>
      <c r="B56" s="1">
        <f>O16</f>
        <v>24000</v>
      </c>
      <c r="D56" s="1"/>
      <c r="E56" s="63" t="s">
        <v>92</v>
      </c>
      <c r="F56" s="63"/>
      <c r="G56" s="1">
        <f>T25</f>
        <v>31960</v>
      </c>
    </row>
    <row r="57" spans="1:7" x14ac:dyDescent="0.2">
      <c r="A57" t="s">
        <v>87</v>
      </c>
      <c r="B57" s="1">
        <v>0</v>
      </c>
      <c r="C57" s="1"/>
      <c r="D57" s="1"/>
      <c r="E57" s="63"/>
      <c r="F57" s="63"/>
      <c r="G57" s="1"/>
    </row>
    <row r="58" spans="1:7" x14ac:dyDescent="0.2">
      <c r="A58" t="s">
        <v>53</v>
      </c>
      <c r="B58" s="1">
        <f>T24</f>
        <v>75000</v>
      </c>
      <c r="G58" s="1"/>
    </row>
    <row r="59" spans="1:7" ht="17" thickBot="1" x14ac:dyDescent="0.25"/>
    <row r="60" spans="1:7" ht="17" thickTop="1" x14ac:dyDescent="0.2">
      <c r="A60" s="11" t="s">
        <v>88</v>
      </c>
      <c r="B60" s="33"/>
      <c r="C60" s="33"/>
      <c r="D60" s="13">
        <f>SUM(B54:B58)</f>
        <v>236000</v>
      </c>
      <c r="E60" s="33"/>
      <c r="F60" s="33"/>
      <c r="G60" s="33"/>
    </row>
    <row r="61" spans="1:7" x14ac:dyDescent="0.2">
      <c r="A61" s="7" t="s">
        <v>89</v>
      </c>
      <c r="G61" s="6">
        <f>SUM(G54:G56)</f>
        <v>104558</v>
      </c>
    </row>
  </sheetData>
  <mergeCells count="10">
    <mergeCell ref="E57:F57"/>
    <mergeCell ref="E41:F41"/>
    <mergeCell ref="E42:F42"/>
    <mergeCell ref="E43:F43"/>
    <mergeCell ref="E44:F44"/>
    <mergeCell ref="A38:G38"/>
    <mergeCell ref="A51:G51"/>
    <mergeCell ref="E54:F54"/>
    <mergeCell ref="E55:F55"/>
    <mergeCell ref="E56:F5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1DEA-EA62-804A-A17F-2C154005939B}">
  <dimension ref="A1:P45"/>
  <sheetViews>
    <sheetView tabSelected="1" zoomScale="120" zoomScaleNormal="120" workbookViewId="0">
      <selection activeCell="A47" sqref="A47"/>
    </sheetView>
  </sheetViews>
  <sheetFormatPr baseColWidth="10" defaultColWidth="11" defaultRowHeight="16" x14ac:dyDescent="0.2"/>
  <cols>
    <col min="1" max="1" width="35.83203125" customWidth="1"/>
    <col min="2" max="3" width="14.1640625" customWidth="1"/>
    <col min="4" max="4" width="3.6640625" customWidth="1"/>
    <col min="5" max="5" width="49.6640625" customWidth="1"/>
    <col min="6" max="7" width="14.33203125" customWidth="1"/>
    <col min="12" max="12" width="57.1640625" customWidth="1"/>
  </cols>
  <sheetData>
    <row r="1" spans="1:7" x14ac:dyDescent="0.2">
      <c r="A1" s="37" t="s">
        <v>93</v>
      </c>
    </row>
    <row r="2" spans="1:7" x14ac:dyDescent="0.2">
      <c r="B2" s="2" t="s">
        <v>94</v>
      </c>
      <c r="C2" s="2" t="s">
        <v>95</v>
      </c>
      <c r="F2" s="2" t="s">
        <v>94</v>
      </c>
      <c r="G2" s="2" t="s">
        <v>95</v>
      </c>
    </row>
    <row r="3" spans="1:7" ht="17" thickBot="1" x14ac:dyDescent="0.25">
      <c r="A3" s="45" t="s">
        <v>96</v>
      </c>
      <c r="B3" s="49">
        <f>B4+B7+B17</f>
        <v>5334</v>
      </c>
      <c r="C3" s="49">
        <f>C4+C7+C17</f>
        <v>5689</v>
      </c>
      <c r="E3" s="45" t="s">
        <v>97</v>
      </c>
      <c r="F3" s="55">
        <v>5077</v>
      </c>
      <c r="G3" s="55">
        <v>4928</v>
      </c>
    </row>
    <row r="4" spans="1:7" ht="17" thickTop="1" x14ac:dyDescent="0.2">
      <c r="A4" s="48" t="s">
        <v>98</v>
      </c>
      <c r="B4" s="50">
        <f>B5</f>
        <v>2164</v>
      </c>
      <c r="C4" s="50">
        <f>C5</f>
        <v>1845</v>
      </c>
      <c r="E4" s="42" t="s">
        <v>99</v>
      </c>
      <c r="F4" s="50">
        <f>F5+F6</f>
        <v>53</v>
      </c>
      <c r="G4" s="50">
        <f>G5+G6</f>
        <v>59</v>
      </c>
    </row>
    <row r="5" spans="1:7" x14ac:dyDescent="0.2">
      <c r="A5" s="46" t="s">
        <v>100</v>
      </c>
      <c r="B5" s="51">
        <f>B6</f>
        <v>2164</v>
      </c>
      <c r="C5" s="51">
        <f>C6</f>
        <v>1845</v>
      </c>
      <c r="E5" s="38" t="s">
        <v>101</v>
      </c>
      <c r="F5" s="52">
        <v>35</v>
      </c>
      <c r="G5" s="52">
        <v>51</v>
      </c>
    </row>
    <row r="6" spans="1:7" x14ac:dyDescent="0.2">
      <c r="A6" s="41" t="s">
        <v>102</v>
      </c>
      <c r="B6" s="52">
        <v>2164</v>
      </c>
      <c r="C6" s="1">
        <v>1845</v>
      </c>
      <c r="E6" s="43" t="s">
        <v>103</v>
      </c>
      <c r="F6" s="51">
        <f>F7</f>
        <v>18</v>
      </c>
      <c r="G6" s="51">
        <f>G7</f>
        <v>8</v>
      </c>
    </row>
    <row r="7" spans="1:7" x14ac:dyDescent="0.2">
      <c r="A7" s="48" t="s">
        <v>104</v>
      </c>
      <c r="B7" s="50">
        <f>B8+B10</f>
        <v>2414</v>
      </c>
      <c r="C7" s="50">
        <f>C8+C10</f>
        <v>3170</v>
      </c>
      <c r="E7" s="38" t="s">
        <v>105</v>
      </c>
      <c r="F7" s="52">
        <v>18</v>
      </c>
      <c r="G7" s="52">
        <v>8</v>
      </c>
    </row>
    <row r="8" spans="1:7" x14ac:dyDescent="0.2">
      <c r="A8" s="46" t="s">
        <v>106</v>
      </c>
      <c r="B8" s="51">
        <f>B9</f>
        <v>293</v>
      </c>
      <c r="C8" s="51">
        <f>C9</f>
        <v>158</v>
      </c>
      <c r="E8" s="44" t="s">
        <v>107</v>
      </c>
      <c r="F8" s="50">
        <f>F9+F10+F11+F12</f>
        <v>5024</v>
      </c>
      <c r="G8" s="50">
        <f>G9+G10+G11+G12</f>
        <v>4869</v>
      </c>
    </row>
    <row r="9" spans="1:7" x14ac:dyDescent="0.2">
      <c r="A9" s="41" t="s">
        <v>108</v>
      </c>
      <c r="B9" s="52">
        <v>293</v>
      </c>
      <c r="C9" s="1">
        <v>158</v>
      </c>
      <c r="E9" s="38" t="s">
        <v>109</v>
      </c>
      <c r="F9" s="52">
        <v>82</v>
      </c>
      <c r="G9" s="52">
        <v>80</v>
      </c>
    </row>
    <row r="10" spans="1:7" x14ac:dyDescent="0.2">
      <c r="A10" s="47" t="s">
        <v>110</v>
      </c>
      <c r="B10" s="53">
        <f>B11+B12+B13</f>
        <v>2121</v>
      </c>
      <c r="C10" s="53">
        <f>C11+C12+C13</f>
        <v>3012</v>
      </c>
      <c r="E10" s="38" t="s">
        <v>111</v>
      </c>
      <c r="F10" s="52">
        <v>2648</v>
      </c>
      <c r="G10" s="52">
        <v>2323</v>
      </c>
    </row>
    <row r="11" spans="1:7" x14ac:dyDescent="0.2">
      <c r="A11" s="41" t="s">
        <v>112</v>
      </c>
      <c r="B11" s="52">
        <v>306</v>
      </c>
      <c r="C11" s="1">
        <v>329</v>
      </c>
      <c r="E11" s="38" t="s">
        <v>113</v>
      </c>
      <c r="F11" s="52">
        <v>141</v>
      </c>
      <c r="G11" s="52">
        <v>352</v>
      </c>
    </row>
    <row r="12" spans="1:7" x14ac:dyDescent="0.2">
      <c r="A12" s="41" t="s">
        <v>114</v>
      </c>
      <c r="B12" s="52">
        <v>1611</v>
      </c>
      <c r="C12" s="1">
        <v>2410</v>
      </c>
      <c r="E12" s="43" t="s">
        <v>115</v>
      </c>
      <c r="F12" s="51">
        <f>F13+F14+F15+F16+F17</f>
        <v>2153</v>
      </c>
      <c r="G12" s="51">
        <f>G13+G14+G15+G16+G17</f>
        <v>2114</v>
      </c>
    </row>
    <row r="13" spans="1:7" x14ac:dyDescent="0.2">
      <c r="A13" s="46" t="s">
        <v>116</v>
      </c>
      <c r="B13" s="51">
        <f>B14+B15+B16</f>
        <v>204</v>
      </c>
      <c r="C13" s="51">
        <f>C14+C15+C16</f>
        <v>273</v>
      </c>
      <c r="E13" s="38" t="s">
        <v>117</v>
      </c>
      <c r="F13" s="52">
        <v>217</v>
      </c>
      <c r="G13" s="52">
        <v>214</v>
      </c>
    </row>
    <row r="14" spans="1:7" x14ac:dyDescent="0.2">
      <c r="A14" s="41" t="s">
        <v>118</v>
      </c>
      <c r="B14" s="52">
        <v>111</v>
      </c>
      <c r="C14" s="1">
        <v>117</v>
      </c>
      <c r="E14" s="38" t="s">
        <v>119</v>
      </c>
      <c r="F14" s="52">
        <v>112</v>
      </c>
      <c r="G14" s="52">
        <v>123</v>
      </c>
    </row>
    <row r="15" spans="1:7" x14ac:dyDescent="0.2">
      <c r="A15" s="41" t="s">
        <v>120</v>
      </c>
      <c r="B15" s="52">
        <v>89</v>
      </c>
      <c r="C15" s="1">
        <v>126</v>
      </c>
      <c r="E15" s="38" t="s">
        <v>121</v>
      </c>
      <c r="F15" s="52">
        <v>222</v>
      </c>
      <c r="G15" s="52">
        <v>257</v>
      </c>
    </row>
    <row r="16" spans="1:7" x14ac:dyDescent="0.2">
      <c r="A16" s="41" t="s">
        <v>122</v>
      </c>
      <c r="B16" s="52">
        <v>4</v>
      </c>
      <c r="C16" s="1">
        <v>30</v>
      </c>
      <c r="E16" s="38" t="s">
        <v>123</v>
      </c>
      <c r="F16" s="52">
        <v>1529</v>
      </c>
      <c r="G16" s="52">
        <v>1501</v>
      </c>
    </row>
    <row r="17" spans="1:16" x14ac:dyDescent="0.2">
      <c r="A17" s="48" t="s">
        <v>124</v>
      </c>
      <c r="B17" s="50">
        <f>B18+B19</f>
        <v>756</v>
      </c>
      <c r="C17" s="54">
        <f>C18+C19</f>
        <v>674</v>
      </c>
      <c r="E17" s="38" t="s">
        <v>105</v>
      </c>
      <c r="F17" s="52">
        <v>73</v>
      </c>
      <c r="G17" s="52">
        <v>19</v>
      </c>
    </row>
    <row r="18" spans="1:16" ht="17" thickBot="1" x14ac:dyDescent="0.25">
      <c r="A18" s="41" t="s">
        <v>125</v>
      </c>
      <c r="B18" s="52">
        <v>529</v>
      </c>
      <c r="C18" s="1">
        <v>484</v>
      </c>
      <c r="E18" s="45" t="s">
        <v>126</v>
      </c>
      <c r="F18" s="55">
        <f>F19+F20</f>
        <v>150</v>
      </c>
      <c r="G18" s="55">
        <f>G19+G20</f>
        <v>286</v>
      </c>
    </row>
    <row r="19" spans="1:16" ht="17" thickTop="1" x14ac:dyDescent="0.2">
      <c r="A19" s="41" t="s">
        <v>127</v>
      </c>
      <c r="B19" s="52">
        <v>227</v>
      </c>
      <c r="C19" s="1">
        <v>190</v>
      </c>
      <c r="E19" s="38" t="s">
        <v>128</v>
      </c>
      <c r="F19" s="52">
        <v>128</v>
      </c>
      <c r="G19" s="52">
        <v>264</v>
      </c>
      <c r="O19" s="40"/>
      <c r="P19" s="39"/>
    </row>
    <row r="20" spans="1:16" ht="17" thickBot="1" x14ac:dyDescent="0.25">
      <c r="A20" s="45" t="s">
        <v>129</v>
      </c>
      <c r="B20" s="55">
        <f>B21+B22</f>
        <v>451</v>
      </c>
      <c r="C20" s="55">
        <f>C21+C22</f>
        <v>414</v>
      </c>
      <c r="E20" s="38" t="s">
        <v>130</v>
      </c>
      <c r="F20" s="52">
        <v>22</v>
      </c>
      <c r="G20" s="52">
        <v>22</v>
      </c>
      <c r="O20" s="40"/>
      <c r="P20" s="39"/>
    </row>
    <row r="21" spans="1:16" ht="17" thickTop="1" x14ac:dyDescent="0.2">
      <c r="A21" s="41" t="s">
        <v>131</v>
      </c>
      <c r="B21" s="52">
        <v>125</v>
      </c>
      <c r="C21" s="1">
        <v>112</v>
      </c>
      <c r="O21" s="40"/>
      <c r="P21" s="39"/>
    </row>
    <row r="22" spans="1:16" x14ac:dyDescent="0.2">
      <c r="A22" s="41" t="s">
        <v>132</v>
      </c>
      <c r="B22" s="52">
        <v>326</v>
      </c>
      <c r="C22" s="1">
        <v>302</v>
      </c>
      <c r="O22" s="40"/>
      <c r="P22" s="39"/>
    </row>
    <row r="23" spans="1:16" x14ac:dyDescent="0.2">
      <c r="O23" s="40"/>
      <c r="P23" s="39"/>
    </row>
    <row r="24" spans="1:16" x14ac:dyDescent="0.2">
      <c r="A24" s="64" t="s">
        <v>133</v>
      </c>
      <c r="B24" s="64">
        <f>(B4+B10+B17)-F8</f>
        <v>17</v>
      </c>
      <c r="C24" s="64"/>
      <c r="D24" s="64"/>
      <c r="E24" s="64"/>
      <c r="F24" s="64"/>
      <c r="G24" s="64"/>
      <c r="O24" s="40"/>
      <c r="P24" s="39"/>
    </row>
    <row r="25" spans="1:16" x14ac:dyDescent="0.2">
      <c r="A25" t="s">
        <v>98</v>
      </c>
      <c r="B25" s="1"/>
      <c r="O25" s="40"/>
      <c r="P25" s="39"/>
    </row>
    <row r="26" spans="1:16" x14ac:dyDescent="0.2">
      <c r="A26" t="s">
        <v>110</v>
      </c>
      <c r="B26" s="1"/>
      <c r="O26" s="40"/>
      <c r="P26" s="39"/>
    </row>
    <row r="27" spans="1:16" x14ac:dyDescent="0.2">
      <c r="A27" s="57" t="s">
        <v>124</v>
      </c>
      <c r="B27" s="58"/>
      <c r="O27" s="40"/>
      <c r="P27" s="39"/>
    </row>
    <row r="28" spans="1:16" x14ac:dyDescent="0.2">
      <c r="A28" t="s">
        <v>134</v>
      </c>
      <c r="O28" s="40"/>
      <c r="P28" s="39"/>
    </row>
    <row r="29" spans="1:16" ht="17" thickBot="1" x14ac:dyDescent="0.25">
      <c r="A29" t="s">
        <v>135</v>
      </c>
      <c r="B29" s="1"/>
      <c r="O29" s="40"/>
      <c r="P29" s="39"/>
    </row>
    <row r="30" spans="1:16" ht="17" thickTop="1" x14ac:dyDescent="0.2">
      <c r="A30" s="11" t="s">
        <v>136</v>
      </c>
      <c r="B30" s="11">
        <f>B28-B29</f>
        <v>0</v>
      </c>
      <c r="O30" s="40"/>
      <c r="P30" s="39"/>
    </row>
    <row r="31" spans="1:16" x14ac:dyDescent="0.2">
      <c r="O31" s="40"/>
      <c r="P31" s="39"/>
    </row>
    <row r="32" spans="1:16" x14ac:dyDescent="0.2">
      <c r="A32" s="65" t="s">
        <v>137</v>
      </c>
      <c r="B32" s="65">
        <f>(B12+B18+B25)-F16</f>
        <v>611</v>
      </c>
      <c r="C32" s="65"/>
      <c r="D32" s="65"/>
      <c r="E32" s="65"/>
      <c r="F32" s="65"/>
      <c r="G32" s="65"/>
      <c r="O32" s="40"/>
      <c r="P32" s="39"/>
    </row>
    <row r="33" spans="1:16" x14ac:dyDescent="0.2">
      <c r="A33" t="s">
        <v>138</v>
      </c>
      <c r="B33" s="56">
        <v>0.01</v>
      </c>
      <c r="O33" s="40"/>
      <c r="P33" s="39"/>
    </row>
    <row r="34" spans="1:16" x14ac:dyDescent="0.2">
      <c r="A34" t="s">
        <v>139</v>
      </c>
      <c r="B34" s="1">
        <v>50</v>
      </c>
      <c r="E34" s="1"/>
      <c r="O34" s="40"/>
      <c r="P34" s="39"/>
    </row>
    <row r="35" spans="1:16" x14ac:dyDescent="0.2">
      <c r="A35" t="s">
        <v>140</v>
      </c>
      <c r="B35" s="1">
        <v>1000</v>
      </c>
      <c r="L35" s="40"/>
      <c r="M35" s="40"/>
      <c r="N35" s="40"/>
      <c r="O35" s="40"/>
      <c r="P35" s="39"/>
    </row>
    <row r="36" spans="1:16" x14ac:dyDescent="0.2">
      <c r="A36" t="s">
        <v>141</v>
      </c>
      <c r="B36" s="1">
        <v>141</v>
      </c>
      <c r="L36" s="40"/>
      <c r="M36" s="40"/>
      <c r="N36" s="40"/>
      <c r="O36" s="40"/>
      <c r="P36" s="39"/>
    </row>
    <row r="37" spans="1:16" x14ac:dyDescent="0.2">
      <c r="A37" t="s">
        <v>142</v>
      </c>
      <c r="B37" s="1">
        <v>700</v>
      </c>
      <c r="L37" s="39"/>
      <c r="M37" s="39"/>
      <c r="N37" s="39"/>
      <c r="O37" s="39"/>
      <c r="P37" s="39"/>
    </row>
    <row r="38" spans="1:16" x14ac:dyDescent="0.2">
      <c r="A38" t="s">
        <v>143</v>
      </c>
      <c r="B38" s="1">
        <f>F5</f>
        <v>35</v>
      </c>
    </row>
    <row r="39" spans="1:16" x14ac:dyDescent="0.2">
      <c r="A39" t="s">
        <v>144</v>
      </c>
      <c r="B39" s="1">
        <v>15</v>
      </c>
    </row>
    <row r="40" spans="1:16" x14ac:dyDescent="0.2">
      <c r="A40" t="s">
        <v>98</v>
      </c>
      <c r="B40" s="1"/>
    </row>
    <row r="41" spans="1:16" x14ac:dyDescent="0.2">
      <c r="A41" t="s">
        <v>110</v>
      </c>
      <c r="B41" s="1"/>
    </row>
    <row r="42" spans="1:16" x14ac:dyDescent="0.2">
      <c r="A42" t="s">
        <v>124</v>
      </c>
      <c r="B42" s="1"/>
    </row>
    <row r="43" spans="1:16" x14ac:dyDescent="0.2">
      <c r="A43" s="59" t="s">
        <v>134</v>
      </c>
      <c r="B43" s="60"/>
    </row>
    <row r="44" spans="1:16" ht="17" thickBot="1" x14ac:dyDescent="0.25">
      <c r="A44" t="s">
        <v>107</v>
      </c>
      <c r="B44" s="1"/>
    </row>
    <row r="45" spans="1:16" ht="17" thickTop="1" x14ac:dyDescent="0.2">
      <c r="A45" s="11" t="s">
        <v>136</v>
      </c>
      <c r="B45" s="13">
        <f>B43-B44</f>
        <v>0</v>
      </c>
    </row>
  </sheetData>
  <mergeCells count="2">
    <mergeCell ref="A24:G24"/>
    <mergeCell ref="A32:G3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8649-375E-4340-95FF-E1E8C3E6A775}">
  <dimension ref="A1:P45"/>
  <sheetViews>
    <sheetView zoomScale="120" zoomScaleNormal="120" workbookViewId="0">
      <selection activeCell="B45" sqref="B45"/>
    </sheetView>
  </sheetViews>
  <sheetFormatPr baseColWidth="10" defaultColWidth="11" defaultRowHeight="16" x14ac:dyDescent="0.2"/>
  <cols>
    <col min="1" max="1" width="35.83203125" customWidth="1"/>
    <col min="2" max="3" width="14.1640625" customWidth="1"/>
    <col min="4" max="4" width="3.6640625" customWidth="1"/>
    <col min="5" max="5" width="49.6640625" customWidth="1"/>
    <col min="6" max="7" width="14.33203125" customWidth="1"/>
    <col min="12" max="12" width="57.1640625" customWidth="1"/>
  </cols>
  <sheetData>
    <row r="1" spans="1:7" x14ac:dyDescent="0.2">
      <c r="A1" s="37" t="s">
        <v>93</v>
      </c>
    </row>
    <row r="2" spans="1:7" x14ac:dyDescent="0.2">
      <c r="B2" s="2" t="s">
        <v>94</v>
      </c>
      <c r="C2" s="2" t="s">
        <v>95</v>
      </c>
      <c r="F2" s="2" t="s">
        <v>94</v>
      </c>
      <c r="G2" s="2" t="s">
        <v>95</v>
      </c>
    </row>
    <row r="3" spans="1:7" ht="17" thickBot="1" x14ac:dyDescent="0.25">
      <c r="A3" s="45" t="s">
        <v>96</v>
      </c>
      <c r="B3" s="49">
        <f>B4+B7+B17</f>
        <v>5334</v>
      </c>
      <c r="C3" s="49">
        <f>C4+C7+C17</f>
        <v>5689</v>
      </c>
      <c r="E3" s="45" t="s">
        <v>97</v>
      </c>
      <c r="F3" s="55">
        <v>5077</v>
      </c>
      <c r="G3" s="55">
        <v>4928</v>
      </c>
    </row>
    <row r="4" spans="1:7" ht="17" thickTop="1" x14ac:dyDescent="0.2">
      <c r="A4" s="48" t="s">
        <v>98</v>
      </c>
      <c r="B4" s="50">
        <f>B5</f>
        <v>2164</v>
      </c>
      <c r="C4" s="50">
        <f>C5</f>
        <v>1845</v>
      </c>
      <c r="E4" s="42" t="s">
        <v>99</v>
      </c>
      <c r="F4" s="50">
        <f>F5+F6</f>
        <v>53</v>
      </c>
      <c r="G4" s="50">
        <f>G5+G6</f>
        <v>59</v>
      </c>
    </row>
    <row r="5" spans="1:7" x14ac:dyDescent="0.2">
      <c r="A5" s="46" t="s">
        <v>100</v>
      </c>
      <c r="B5" s="51">
        <f>B6</f>
        <v>2164</v>
      </c>
      <c r="C5" s="51">
        <f>C6</f>
        <v>1845</v>
      </c>
      <c r="E5" s="38" t="s">
        <v>101</v>
      </c>
      <c r="F5" s="52">
        <v>35</v>
      </c>
      <c r="G5" s="52">
        <v>51</v>
      </c>
    </row>
    <row r="6" spans="1:7" x14ac:dyDescent="0.2">
      <c r="A6" s="41" t="s">
        <v>102</v>
      </c>
      <c r="B6" s="52">
        <v>2164</v>
      </c>
      <c r="C6" s="1">
        <v>1845</v>
      </c>
      <c r="E6" s="43" t="s">
        <v>103</v>
      </c>
      <c r="F6" s="51">
        <f>F7</f>
        <v>18</v>
      </c>
      <c r="G6" s="51">
        <f>G7</f>
        <v>8</v>
      </c>
    </row>
    <row r="7" spans="1:7" x14ac:dyDescent="0.2">
      <c r="A7" s="48" t="s">
        <v>104</v>
      </c>
      <c r="B7" s="50">
        <f>B8+B10</f>
        <v>2414</v>
      </c>
      <c r="C7" s="50">
        <f>C8+C10</f>
        <v>3170</v>
      </c>
      <c r="E7" s="38" t="s">
        <v>105</v>
      </c>
      <c r="F7" s="52">
        <v>18</v>
      </c>
      <c r="G7" s="52">
        <v>8</v>
      </c>
    </row>
    <row r="8" spans="1:7" x14ac:dyDescent="0.2">
      <c r="A8" s="46" t="s">
        <v>106</v>
      </c>
      <c r="B8" s="51">
        <f>B9</f>
        <v>293</v>
      </c>
      <c r="C8" s="51">
        <f>C9</f>
        <v>158</v>
      </c>
      <c r="E8" s="44" t="s">
        <v>107</v>
      </c>
      <c r="F8" s="50">
        <f>F9+F10+F11+F12</f>
        <v>5024</v>
      </c>
      <c r="G8" s="50">
        <f>G9+G10+G11+G12</f>
        <v>4869</v>
      </c>
    </row>
    <row r="9" spans="1:7" x14ac:dyDescent="0.2">
      <c r="A9" s="41" t="s">
        <v>108</v>
      </c>
      <c r="B9" s="52">
        <v>293</v>
      </c>
      <c r="C9" s="1">
        <v>158</v>
      </c>
      <c r="E9" s="38" t="s">
        <v>109</v>
      </c>
      <c r="F9" s="52">
        <v>82</v>
      </c>
      <c r="G9" s="52">
        <v>80</v>
      </c>
    </row>
    <row r="10" spans="1:7" x14ac:dyDescent="0.2">
      <c r="A10" s="47" t="s">
        <v>110</v>
      </c>
      <c r="B10" s="53">
        <f>B11+B12+B13</f>
        <v>2121</v>
      </c>
      <c r="C10" s="53">
        <f>C11+C12+C13</f>
        <v>3012</v>
      </c>
      <c r="E10" s="38" t="s">
        <v>111</v>
      </c>
      <c r="F10" s="52">
        <v>2648</v>
      </c>
      <c r="G10" s="52">
        <v>2323</v>
      </c>
    </row>
    <row r="11" spans="1:7" x14ac:dyDescent="0.2">
      <c r="A11" s="41" t="s">
        <v>112</v>
      </c>
      <c r="B11" s="52">
        <v>306</v>
      </c>
      <c r="C11" s="1">
        <v>329</v>
      </c>
      <c r="E11" s="38" t="s">
        <v>113</v>
      </c>
      <c r="F11" s="52">
        <v>141</v>
      </c>
      <c r="G11" s="52">
        <v>352</v>
      </c>
    </row>
    <row r="12" spans="1:7" x14ac:dyDescent="0.2">
      <c r="A12" s="41" t="s">
        <v>114</v>
      </c>
      <c r="B12" s="52">
        <v>1611</v>
      </c>
      <c r="C12" s="1">
        <v>2410</v>
      </c>
      <c r="E12" s="43" t="s">
        <v>115</v>
      </c>
      <c r="F12" s="51">
        <f>F13+F14+F15+F16+F17</f>
        <v>2153</v>
      </c>
      <c r="G12" s="51">
        <f>G13+G14+G15+G16+G17</f>
        <v>2114</v>
      </c>
    </row>
    <row r="13" spans="1:7" x14ac:dyDescent="0.2">
      <c r="A13" s="46" t="s">
        <v>116</v>
      </c>
      <c r="B13" s="51">
        <f>B14+B15+B16</f>
        <v>204</v>
      </c>
      <c r="C13" s="51">
        <f>C14+C15+C16</f>
        <v>273</v>
      </c>
      <c r="E13" s="38" t="s">
        <v>117</v>
      </c>
      <c r="F13" s="52">
        <v>217</v>
      </c>
      <c r="G13" s="52">
        <v>214</v>
      </c>
    </row>
    <row r="14" spans="1:7" x14ac:dyDescent="0.2">
      <c r="A14" s="41" t="s">
        <v>118</v>
      </c>
      <c r="B14" s="52">
        <v>111</v>
      </c>
      <c r="C14" s="1">
        <v>117</v>
      </c>
      <c r="E14" s="38" t="s">
        <v>119</v>
      </c>
      <c r="F14" s="52">
        <v>112</v>
      </c>
      <c r="G14" s="52">
        <v>123</v>
      </c>
    </row>
    <row r="15" spans="1:7" x14ac:dyDescent="0.2">
      <c r="A15" s="41" t="s">
        <v>120</v>
      </c>
      <c r="B15" s="52">
        <v>89</v>
      </c>
      <c r="C15" s="1">
        <v>126</v>
      </c>
      <c r="E15" s="38" t="s">
        <v>121</v>
      </c>
      <c r="F15" s="52">
        <v>222</v>
      </c>
      <c r="G15" s="52">
        <v>257</v>
      </c>
    </row>
    <row r="16" spans="1:7" x14ac:dyDescent="0.2">
      <c r="A16" s="41" t="s">
        <v>122</v>
      </c>
      <c r="B16" s="52">
        <v>4</v>
      </c>
      <c r="C16" s="1">
        <v>30</v>
      </c>
      <c r="E16" s="38" t="s">
        <v>123</v>
      </c>
      <c r="F16" s="52">
        <v>1529</v>
      </c>
      <c r="G16" s="52">
        <v>1501</v>
      </c>
    </row>
    <row r="17" spans="1:16" x14ac:dyDescent="0.2">
      <c r="A17" s="48" t="s">
        <v>124</v>
      </c>
      <c r="B17" s="50">
        <f>B18+B19</f>
        <v>756</v>
      </c>
      <c r="C17" s="54">
        <f>C18+C19</f>
        <v>674</v>
      </c>
      <c r="E17" s="38" t="s">
        <v>105</v>
      </c>
      <c r="F17" s="52">
        <v>73</v>
      </c>
      <c r="G17" s="52">
        <v>19</v>
      </c>
    </row>
    <row r="18" spans="1:16" ht="17" thickBot="1" x14ac:dyDescent="0.25">
      <c r="A18" s="41" t="s">
        <v>125</v>
      </c>
      <c r="B18" s="52">
        <v>529</v>
      </c>
      <c r="C18" s="1">
        <v>484</v>
      </c>
      <c r="E18" s="45" t="s">
        <v>126</v>
      </c>
      <c r="F18" s="55">
        <f>F19+F20</f>
        <v>150</v>
      </c>
      <c r="G18" s="55">
        <f>G19+G20</f>
        <v>286</v>
      </c>
    </row>
    <row r="19" spans="1:16" ht="17" thickTop="1" x14ac:dyDescent="0.2">
      <c r="A19" s="41" t="s">
        <v>127</v>
      </c>
      <c r="B19" s="52">
        <v>227</v>
      </c>
      <c r="C19" s="1">
        <v>190</v>
      </c>
      <c r="E19" s="38" t="s">
        <v>128</v>
      </c>
      <c r="F19" s="52">
        <v>128</v>
      </c>
      <c r="G19" s="52">
        <v>264</v>
      </c>
      <c r="O19" s="40"/>
      <c r="P19" s="39"/>
    </row>
    <row r="20" spans="1:16" ht="17" thickBot="1" x14ac:dyDescent="0.25">
      <c r="A20" s="45" t="s">
        <v>129</v>
      </c>
      <c r="B20" s="55">
        <f>B21+B22</f>
        <v>451</v>
      </c>
      <c r="C20" s="55">
        <f>C21+C22</f>
        <v>414</v>
      </c>
      <c r="E20" s="38" t="s">
        <v>130</v>
      </c>
      <c r="F20" s="52">
        <v>22</v>
      </c>
      <c r="G20" s="52">
        <v>22</v>
      </c>
      <c r="O20" s="40"/>
      <c r="P20" s="39"/>
    </row>
    <row r="21" spans="1:16" ht="17" thickTop="1" x14ac:dyDescent="0.2">
      <c r="A21" s="41" t="s">
        <v>131</v>
      </c>
      <c r="B21" s="52">
        <v>125</v>
      </c>
      <c r="C21" s="1">
        <v>112</v>
      </c>
      <c r="O21" s="40"/>
      <c r="P21" s="39"/>
    </row>
    <row r="22" spans="1:16" x14ac:dyDescent="0.2">
      <c r="A22" s="41" t="s">
        <v>132</v>
      </c>
      <c r="B22" s="52">
        <v>326</v>
      </c>
      <c r="C22" s="1">
        <v>302</v>
      </c>
      <c r="O22" s="40"/>
      <c r="P22" s="39"/>
    </row>
    <row r="23" spans="1:16" x14ac:dyDescent="0.2">
      <c r="O23" s="40"/>
      <c r="P23" s="39"/>
    </row>
    <row r="24" spans="1:16" x14ac:dyDescent="0.2">
      <c r="A24" s="64" t="s">
        <v>133</v>
      </c>
      <c r="B24" s="64">
        <f>(B4+B10+B17)-F8</f>
        <v>17</v>
      </c>
      <c r="C24" s="64"/>
      <c r="D24" s="64"/>
      <c r="E24" s="64"/>
      <c r="F24" s="64"/>
      <c r="G24" s="64"/>
      <c r="O24" s="40"/>
      <c r="P24" s="39"/>
    </row>
    <row r="25" spans="1:16" x14ac:dyDescent="0.2">
      <c r="A25" t="s">
        <v>98</v>
      </c>
      <c r="B25" s="1">
        <f>B4</f>
        <v>2164</v>
      </c>
      <c r="O25" s="40"/>
      <c r="P25" s="39"/>
    </row>
    <row r="26" spans="1:16" x14ac:dyDescent="0.2">
      <c r="A26" t="s">
        <v>110</v>
      </c>
      <c r="B26" s="1">
        <f>B10</f>
        <v>2121</v>
      </c>
      <c r="O26" s="40"/>
      <c r="P26" s="39"/>
    </row>
    <row r="27" spans="1:16" x14ac:dyDescent="0.2">
      <c r="A27" s="57" t="s">
        <v>124</v>
      </c>
      <c r="B27" s="58">
        <f>B17</f>
        <v>756</v>
      </c>
      <c r="O27" s="40"/>
      <c r="P27" s="39"/>
    </row>
    <row r="28" spans="1:16" x14ac:dyDescent="0.2">
      <c r="A28" t="s">
        <v>134</v>
      </c>
      <c r="B28">
        <f>SUM(B25:B27)</f>
        <v>5041</v>
      </c>
      <c r="O28" s="40"/>
      <c r="P28" s="39"/>
    </row>
    <row r="29" spans="1:16" ht="17" thickBot="1" x14ac:dyDescent="0.25">
      <c r="A29" t="s">
        <v>135</v>
      </c>
      <c r="B29" s="1">
        <f>F8</f>
        <v>5024</v>
      </c>
      <c r="O29" s="40"/>
      <c r="P29" s="39"/>
    </row>
    <row r="30" spans="1:16" ht="17" thickTop="1" x14ac:dyDescent="0.2">
      <c r="A30" s="11" t="s">
        <v>136</v>
      </c>
      <c r="B30" s="11">
        <f>B28-B29</f>
        <v>17</v>
      </c>
      <c r="O30" s="40"/>
      <c r="P30" s="39"/>
    </row>
    <row r="31" spans="1:16" x14ac:dyDescent="0.2">
      <c r="O31" s="40"/>
      <c r="P31" s="39"/>
    </row>
    <row r="32" spans="1:16" x14ac:dyDescent="0.2">
      <c r="A32" s="65" t="s">
        <v>137</v>
      </c>
      <c r="B32" s="65">
        <f>(B12+B18+B25)-F16</f>
        <v>2775</v>
      </c>
      <c r="C32" s="65"/>
      <c r="D32" s="65"/>
      <c r="E32" s="65"/>
      <c r="F32" s="65"/>
      <c r="G32" s="65"/>
      <c r="O32" s="40"/>
      <c r="P32" s="39"/>
    </row>
    <row r="33" spans="1:16" x14ac:dyDescent="0.2">
      <c r="A33" t="s">
        <v>138</v>
      </c>
      <c r="B33" s="56">
        <v>0.01</v>
      </c>
      <c r="O33" s="40"/>
      <c r="P33" s="39"/>
    </row>
    <row r="34" spans="1:16" x14ac:dyDescent="0.2">
      <c r="A34" t="s">
        <v>139</v>
      </c>
      <c r="B34" s="1">
        <v>50</v>
      </c>
      <c r="E34" s="1"/>
      <c r="O34" s="40"/>
      <c r="P34" s="39"/>
    </row>
    <row r="35" spans="1:16" x14ac:dyDescent="0.2">
      <c r="A35" t="s">
        <v>140</v>
      </c>
      <c r="B35" s="1">
        <v>1000</v>
      </c>
      <c r="L35" s="40"/>
      <c r="M35" s="40"/>
      <c r="N35" s="40"/>
      <c r="O35" s="40"/>
      <c r="P35" s="39"/>
    </row>
    <row r="36" spans="1:16" x14ac:dyDescent="0.2">
      <c r="A36" t="s">
        <v>141</v>
      </c>
      <c r="B36" s="1">
        <v>141</v>
      </c>
      <c r="L36" s="40"/>
      <c r="M36" s="40"/>
      <c r="N36" s="40"/>
      <c r="O36" s="40"/>
      <c r="P36" s="39"/>
    </row>
    <row r="37" spans="1:16" x14ac:dyDescent="0.2">
      <c r="A37" t="s">
        <v>142</v>
      </c>
      <c r="B37" s="1">
        <v>700</v>
      </c>
      <c r="L37" s="39"/>
      <c r="M37" s="39"/>
      <c r="N37" s="39"/>
      <c r="O37" s="39"/>
      <c r="P37" s="39"/>
    </row>
    <row r="38" spans="1:16" x14ac:dyDescent="0.2">
      <c r="A38" t="s">
        <v>143</v>
      </c>
      <c r="B38" s="1">
        <f>F5</f>
        <v>35</v>
      </c>
    </row>
    <row r="39" spans="1:16" x14ac:dyDescent="0.2">
      <c r="A39" t="s">
        <v>144</v>
      </c>
      <c r="B39" s="1">
        <v>15</v>
      </c>
    </row>
    <row r="40" spans="1:16" x14ac:dyDescent="0.2">
      <c r="A40" t="s">
        <v>98</v>
      </c>
      <c r="B40" s="1">
        <f>(1-B33)*B4</f>
        <v>2142.36</v>
      </c>
    </row>
    <row r="41" spans="1:16" x14ac:dyDescent="0.2">
      <c r="A41" t="s">
        <v>110</v>
      </c>
      <c r="B41" s="1">
        <f>B10-B35-B34-B36</f>
        <v>930</v>
      </c>
    </row>
    <row r="42" spans="1:16" x14ac:dyDescent="0.2">
      <c r="A42" t="s">
        <v>124</v>
      </c>
      <c r="B42" s="1">
        <f>B37</f>
        <v>700</v>
      </c>
    </row>
    <row r="43" spans="1:16" x14ac:dyDescent="0.2">
      <c r="A43" s="59" t="s">
        <v>134</v>
      </c>
      <c r="B43" s="60">
        <f>SUM(B40:B42)</f>
        <v>3772.36</v>
      </c>
    </row>
    <row r="44" spans="1:16" ht="17" thickBot="1" x14ac:dyDescent="0.25">
      <c r="A44" t="s">
        <v>107</v>
      </c>
      <c r="B44" s="1">
        <f>B38+F8-B39-B36</f>
        <v>4903</v>
      </c>
    </row>
    <row r="45" spans="1:16" ht="17" thickTop="1" x14ac:dyDescent="0.2">
      <c r="A45" s="11" t="s">
        <v>136</v>
      </c>
      <c r="B45" s="13">
        <f>B43-B44</f>
        <v>-1130.6399999999999</v>
      </c>
    </row>
  </sheetData>
  <mergeCells count="2">
    <mergeCell ref="A24:G24"/>
    <mergeCell ref="A32:G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123budovy a.s._zadani</vt:lpstr>
      <vt:lpstr>123budovy a.s._reseni</vt:lpstr>
      <vt:lpstr>zyxWerke_zadani</vt:lpstr>
      <vt:lpstr>zyxWerke_reseni</vt:lpstr>
      <vt:lpstr>NakupniVozik a.s.</vt:lpstr>
      <vt:lpstr>NakupniVozik_reseni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Brabenec, Tomáš</dc:creator>
  <cp:keywords/>
  <dc:description/>
  <cp:lastModifiedBy>Tomáš Brabenec</cp:lastModifiedBy>
  <cp:revision/>
  <dcterms:created xsi:type="dcterms:W3CDTF">2024-02-20T17:00:35Z</dcterms:created>
  <dcterms:modified xsi:type="dcterms:W3CDTF">2024-03-04T21:19:22Z</dcterms:modified>
  <cp:category/>
  <cp:contentStatus/>
</cp:coreProperties>
</file>