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userName="Strobach, Jiří" algorithmName="SHA-512" hashValue="HsuKG+WR/HSdpcPTJahUoeW9r/osvLOAVeouo8fBiIa/RPr434ZS8lkqrqogoUte8wNTw9ua+8erkrtKwtMG/w==" saltValue="zJ1GAhPwy2+ZbForlQKCU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Škola\Cvičebnice\podklady\kapitola 8\"/>
    </mc:Choice>
  </mc:AlternateContent>
  <xr:revisionPtr revIDLastSave="0" documentId="13_ncr:18001_{A7C284C4-A4EB-46E9-945D-C7A4D4D73BA9}" xr6:coauthVersionLast="47" xr6:coauthVersionMax="47" xr10:uidLastSave="{00000000-0000-0000-0000-000000000000}"/>
  <bookViews>
    <workbookView xWindow="28680" yWindow="-120" windowWidth="29040" windowHeight="15840" xr2:uid="{3F61A296-E846-544A-A5DE-E11D703287C9}"/>
  </bookViews>
  <sheets>
    <sheet name="Podkladove_materialy" sheetId="3" r:id="rId1"/>
    <sheet name="Otazky" sheetId="4" r:id="rId2"/>
    <sheet name="Vypocty" sheetId="7" r:id="rId3"/>
    <sheet name="Odpovědi" sheetId="6" r:id="rId4"/>
    <sheet name="Pomuck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7" l="1"/>
  <c r="C44" i="7"/>
  <c r="C41" i="7"/>
  <c r="B41" i="7" s="1"/>
  <c r="C43" i="7"/>
  <c r="C42" i="7"/>
  <c r="B42" i="7" s="1"/>
  <c r="B36" i="7"/>
  <c r="C36" i="7"/>
  <c r="B40" i="7" s="1"/>
  <c r="C20" i="7"/>
  <c r="B53" i="7"/>
  <c r="D34" i="7"/>
  <c r="C34" i="7" s="1"/>
  <c r="B34" i="7" s="1"/>
  <c r="B35" i="7"/>
  <c r="C35" i="7"/>
  <c r="B27" i="7"/>
  <c r="B47" i="7" l="1"/>
  <c r="C40" i="7"/>
  <c r="B46" i="7"/>
  <c r="B32" i="7"/>
  <c r="B29" i="7"/>
  <c r="C22" i="7"/>
  <c r="B25" i="7"/>
  <c r="B50" i="7"/>
  <c r="C4" i="5"/>
  <c r="C48" i="7"/>
  <c r="C50" i="7" l="1"/>
  <c r="B52" i="7"/>
  <c r="K2" i="5"/>
  <c r="L2" i="5" s="1"/>
  <c r="J2" i="5"/>
  <c r="G2" i="5"/>
  <c r="H2" i="5"/>
  <c r="I2" i="5"/>
  <c r="E34" i="7"/>
  <c r="C15" i="7"/>
  <c r="C2" i="7"/>
  <c r="C13" i="7"/>
  <c r="C12" i="7"/>
  <c r="E50" i="7" l="1"/>
  <c r="E51" i="7" s="1"/>
  <c r="E52" i="7" s="1"/>
  <c r="E53" i="7" s="1"/>
  <c r="D50" i="7"/>
  <c r="D51" i="7" s="1"/>
  <c r="C2" i="5"/>
  <c r="C4" i="7"/>
  <c r="C3" i="7"/>
  <c r="C6" i="7"/>
  <c r="B37" i="7"/>
  <c r="C16" i="7"/>
  <c r="D14" i="7"/>
  <c r="C14" i="7" s="1"/>
  <c r="D13" i="7"/>
  <c r="D12" i="7"/>
  <c r="C17" i="7" l="1"/>
  <c r="C7" i="7"/>
  <c r="C5" i="7"/>
  <c r="C3" i="5" l="1"/>
  <c r="I5" i="5" s="1"/>
  <c r="C8" i="7"/>
  <c r="B30" i="7" s="1"/>
  <c r="B31" i="7" s="1"/>
  <c r="G3" i="5"/>
  <c r="H3" i="5"/>
  <c r="I3" i="5"/>
  <c r="J3" i="5"/>
  <c r="K3" i="5"/>
  <c r="L3" i="5"/>
  <c r="F3" i="5"/>
  <c r="B26" i="7" l="1"/>
  <c r="K5" i="5"/>
  <c r="L5" i="5"/>
  <c r="H5" i="5"/>
  <c r="F5" i="5"/>
  <c r="J5" i="5"/>
  <c r="G5" i="5"/>
  <c r="F4" i="5" l="1"/>
  <c r="F6" i="5" s="1"/>
  <c r="F7" i="5" s="1"/>
  <c r="J4" i="5"/>
  <c r="J6" i="5" s="1"/>
  <c r="J7" i="5" s="1"/>
  <c r="G4" i="5"/>
  <c r="G6" i="5" s="1"/>
  <c r="G7" i="5" s="1"/>
  <c r="K4" i="5"/>
  <c r="K6" i="5" s="1"/>
  <c r="K7" i="5" s="1"/>
  <c r="H4" i="5"/>
  <c r="H6" i="5" s="1"/>
  <c r="H7" i="5" s="1"/>
  <c r="L4" i="5"/>
  <c r="L6" i="5" s="1"/>
  <c r="L7" i="5" s="1"/>
  <c r="I4" i="5"/>
  <c r="I6" i="5" s="1"/>
  <c r="I7" i="5" s="1"/>
  <c r="B44" i="7" l="1"/>
  <c r="B43" i="7"/>
</calcChain>
</file>

<file path=xl/sharedStrings.xml><?xml version="1.0" encoding="utf-8"?>
<sst xmlns="http://schemas.openxmlformats.org/spreadsheetml/2006/main" count="163" uniqueCount="144">
  <si>
    <t>FN</t>
  </si>
  <si>
    <t>VN</t>
  </si>
  <si>
    <t>Receptura:</t>
  </si>
  <si>
    <t>ml</t>
  </si>
  <si>
    <t>mléko</t>
  </si>
  <si>
    <t>Kč</t>
  </si>
  <si>
    <t>spotřeba kávy na 1 espresso</t>
  </si>
  <si>
    <t>gramů</t>
  </si>
  <si>
    <t>Namletí 1 espressa</t>
  </si>
  <si>
    <t>Průtok vody při plnění šálku</t>
  </si>
  <si>
    <t>sekund</t>
  </si>
  <si>
    <t>ml za 1 sekundu</t>
  </si>
  <si>
    <t>Příprava mléka</t>
  </si>
  <si>
    <t>sekundy na 10 ml</t>
  </si>
  <si>
    <t>Kompletace café latté</t>
  </si>
  <si>
    <t>Předání zákazníkovi a zaplacení, EET</t>
  </si>
  <si>
    <t>Procesy:</t>
  </si>
  <si>
    <t>Cena 1 litru mléka (min. 4 % tuku)</t>
  </si>
  <si>
    <t>Cena 1 kg pytle zvolené kávy (směs 30 % robusta, 70 % arabica)</t>
  </si>
  <si>
    <t>Cena 1 kg pytle zvolené kávy (100 % arabica)</t>
  </si>
  <si>
    <t>Pořizovací cena 1 přístroje - kávovaru (obsahuje vše potřebné)</t>
  </si>
  <si>
    <t>Náklady na instalaci přístroje v místě dodavatelskou firmou</t>
  </si>
  <si>
    <t>Cena 1 šálku</t>
  </si>
  <si>
    <t>Potisk 1 šálku</t>
  </si>
  <si>
    <t>Počáteční marketingové náklady (reklama, banery atp.)</t>
  </si>
  <si>
    <t>Teoretická kapacita zakoupeného přístroje při pravidelné údržbě</t>
  </si>
  <si>
    <t>šálků denně</t>
  </si>
  <si>
    <t>Doba životnosti při pravidelné údržbě</t>
  </si>
  <si>
    <t>roky</t>
  </si>
  <si>
    <t>administrativní náklady - účetnictví, přiznání k DPH, DPPO</t>
  </si>
  <si>
    <t>kvartálně</t>
  </si>
  <si>
    <t>espreso (objem kofeinu cca 72 mg): 30 % robusta a 70 % arabica</t>
  </si>
  <si>
    <t>Dle cenových nabídek máte zajištěny tyto náklady (bez DPH):</t>
  </si>
  <si>
    <t>Plánujete otevřít stánek "VŠE powered by CoFFee" v prostorách rajské budovy VŠE. Prozatím plánujete pouze jeden výrobek, a to exkluzivní, chuťově brilantní a opticky ostré café latté do ekologicky odbrouratelného poloprůhledného šálku s vlastním logem a na míru širou grafikou. Škola nabízí jeden ucelený prostor o velikosti 4 m2 s opcí až na 8 m2. K prostoru je umožněno připojení teplé a studené vody a odpad. Nájemné škola kalkuluje včetně spotřeby teplé a studené vody do objemu 1 m3 měsíčně celkem. VŠE nabízí uzavření smlouvy na dobu určinou 1 rok s opcí 1 rok a 1 rok za cenu 258,- Kč za 1 m2.</t>
  </si>
  <si>
    <t>Svým odběratelům hodláte připravovat nápoj v přístroji s vysokou kvalitou a máte získány tyto informace:</t>
  </si>
  <si>
    <t>Pravidelná údržba musí probíhat</t>
  </si>
  <si>
    <t>Náklad na 1 údržbu od specializované firmy činí</t>
  </si>
  <si>
    <t>Veškeré ceny jsou bez DPH.</t>
  </si>
  <si>
    <t>Za účelem získání odhadované poptávky hodláte vynaložit hned v počátku projektu tyty náklad:</t>
  </si>
  <si>
    <t>objem šálku je</t>
  </si>
  <si>
    <t>Očekáváte, že hned v počátku projektu požádáte o registraci k DPH a že budete spolupracovat s účetní firmou, která Vám povede účetnictví a bude zpracovávat příslušná daňová přiznání.</t>
  </si>
  <si>
    <t>Úkoly:</t>
  </si>
  <si>
    <t>b) ceny nájmu</t>
  </si>
  <si>
    <t>a) kupní ceny kávy</t>
  </si>
  <si>
    <t>c) prodejní ceny Vašeho produktu</t>
  </si>
  <si>
    <t>d) kupní ceny 1 šálku</t>
  </si>
  <si>
    <t xml:space="preserve">Pro zjednodušení právní formy podnikání předpokládejte, že celý projekt budete realizovat jako OSVČ. </t>
  </si>
  <si>
    <t>Prodané množství</t>
  </si>
  <si>
    <t>Zisk</t>
  </si>
  <si>
    <t>Tržby</t>
  </si>
  <si>
    <t>CN</t>
  </si>
  <si>
    <t>Podkladové materiály:</t>
  </si>
  <si>
    <t>Podklad pro seminární práci Finanční analýza a plánování podniku</t>
  </si>
  <si>
    <t>Prodejní cena 1 šálku</t>
  </si>
  <si>
    <t>Vstupy</t>
  </si>
  <si>
    <t>Variabilní náklady na 1 šálek</t>
  </si>
  <si>
    <t>Fixní náklady celkem</t>
  </si>
  <si>
    <t>VSTUPNÍ ÚDAJE (vč. PRODANÉHO MNOŽSTVÍ) SI UPRAVTE PODLE VAŠÍ POTŘEBY</t>
  </si>
  <si>
    <t>Při odhadu nákladů na výrobu očekáváte, že nebudete zcela efektivní (sem tam něco vylijete či vysypete) a počítáte, že nedodržíte (tj. přesáhnete) normu spotřeby u mléka i kávy o 5 %.</t>
  </si>
  <si>
    <t>a) se strategii přizpůsobíte a zavedete stejnou akci,</t>
  </si>
  <si>
    <t>Pro jakou možnost se za daných okolností rozhodnete? Svou odpověď zdůvodněte.</t>
  </si>
  <si>
    <r>
      <t xml:space="preserve">2. Vaším snem vždy bylo mít měsíční </t>
    </r>
    <r>
      <rPr>
        <b/>
        <sz val="12"/>
        <color theme="1"/>
        <rFont val="Calibri"/>
        <family val="2"/>
        <charset val="238"/>
        <scheme val="minor"/>
      </rPr>
      <t>příjem</t>
    </r>
    <r>
      <rPr>
        <sz val="12"/>
        <color theme="1"/>
        <rFont val="Calibri"/>
        <family val="2"/>
        <charset val="238"/>
        <scheme val="minor"/>
      </rPr>
      <t xml:space="preserve"> alespoň </t>
    </r>
    <r>
      <rPr>
        <b/>
        <sz val="12"/>
        <color theme="1"/>
        <rFont val="Calibri"/>
        <family val="2"/>
        <charset val="238"/>
        <scheme val="minor"/>
      </rPr>
      <t>45 000,- Kč</t>
    </r>
    <r>
      <rPr>
        <sz val="12"/>
        <color theme="1"/>
        <rFont val="Calibri"/>
        <family val="2"/>
        <charset val="238"/>
        <scheme val="minor"/>
      </rPr>
      <t xml:space="preserve">. </t>
    </r>
    <r>
      <rPr>
        <b/>
        <sz val="12"/>
        <color theme="1"/>
        <rFont val="Calibri"/>
        <family val="2"/>
        <charset val="238"/>
        <scheme val="minor"/>
      </rPr>
      <t>Kolik šálků</t>
    </r>
    <r>
      <rPr>
        <sz val="12"/>
        <color theme="1"/>
        <rFont val="Calibri"/>
        <family val="2"/>
        <charset val="238"/>
        <scheme val="minor"/>
      </rPr>
      <t xml:space="preserve"> je potřeba každý měsíc prodat k splnění Vašeho snu? </t>
    </r>
    <r>
      <rPr>
        <b/>
        <sz val="12"/>
        <color theme="1"/>
        <rFont val="Calibri"/>
        <family val="2"/>
        <charset val="238"/>
        <scheme val="minor"/>
      </rPr>
      <t>Kolik času</t>
    </r>
    <r>
      <rPr>
        <sz val="12"/>
        <color theme="1"/>
        <rFont val="Calibri"/>
        <family val="2"/>
        <charset val="238"/>
        <scheme val="minor"/>
      </rPr>
      <t xml:space="preserve"> Vám prodej takového množství šálků zabere?</t>
    </r>
  </si>
  <si>
    <r>
      <t xml:space="preserve">4. Uveďte, jaká je </t>
    </r>
    <r>
      <rPr>
        <b/>
        <sz val="12"/>
        <color theme="1"/>
        <rFont val="Calibri"/>
        <family val="2"/>
        <charset val="238"/>
        <scheme val="minor"/>
      </rPr>
      <t>citlivost Vašeho maximálního měsíčního příjmu</t>
    </r>
    <r>
      <rPr>
        <sz val="12"/>
        <color theme="1"/>
        <rFont val="Calibri"/>
        <family val="2"/>
        <charset val="238"/>
        <scheme val="minor"/>
      </rPr>
      <t xml:space="preserve"> na změnu:</t>
    </r>
  </si>
  <si>
    <t xml:space="preserve">5.  Po otevření Vašeho "coffee-pointu" současná konkurence zahájila "věrnostní" akci 5 + 1 cafe latté zdarma. Máte dvě možnosti, buď </t>
  </si>
  <si>
    <r>
      <t xml:space="preserve">1. </t>
    </r>
    <r>
      <rPr>
        <b/>
        <sz val="12"/>
        <color theme="1"/>
        <rFont val="Calibri"/>
        <family val="2"/>
        <charset val="238"/>
        <scheme val="minor"/>
      </rPr>
      <t>Kolik šálků</t>
    </r>
    <r>
      <rPr>
        <sz val="12"/>
        <color theme="1"/>
        <rFont val="Calibri"/>
        <family val="2"/>
        <charset val="238"/>
        <scheme val="minor"/>
      </rPr>
      <t xml:space="preserve"> musíte minimálně každý měsíc</t>
    </r>
    <r>
      <rPr>
        <b/>
        <sz val="12"/>
        <color theme="1"/>
        <rFont val="Calibri"/>
        <family val="2"/>
        <charset val="238"/>
        <scheme val="minor"/>
      </rPr>
      <t xml:space="preserve"> prodat</t>
    </r>
    <r>
      <rPr>
        <sz val="12"/>
        <color theme="1"/>
        <rFont val="Calibri"/>
        <family val="2"/>
        <charset val="238"/>
        <scheme val="minor"/>
      </rPr>
      <t>, abyste pokryly Vaše měsíční provozní náklady? (tj.</t>
    </r>
    <r>
      <rPr>
        <b/>
        <sz val="12"/>
        <color theme="1"/>
        <rFont val="Calibri"/>
        <family val="2"/>
        <charset val="238"/>
        <scheme val="minor"/>
      </rPr>
      <t xml:space="preserve"> bod zvratu v ks</t>
    </r>
    <r>
      <rPr>
        <sz val="12"/>
        <color theme="1"/>
        <rFont val="Calibri"/>
        <family val="2"/>
        <charset val="238"/>
        <scheme val="minor"/>
      </rPr>
      <t>)</t>
    </r>
  </si>
  <si>
    <t>Rozhodnete se za daných okolností pro spuštění takové kampaně? Svou odpověď zdůvodněte.</t>
  </si>
  <si>
    <t>6.  Uvažujete o spuštění marketingové kampaně na sociální síti. Cena reklamy je 1,- Kč za každé jedno zobrazení na "news feed". Z dostupných statistik na webu jste si zjistili, že úspěšnost prodejní konverze z takové reklamy činí 10%.</t>
  </si>
  <si>
    <t>Pokud jste se rozhodli pro NEspuštění takové kampaně z jiných důvodů, než je atraktivita reklamy, uveďte, jaké okolnosti by se musely změnit, abyste marketingovou kampaň spustili.</t>
  </si>
  <si>
    <t>Pozn.:</t>
  </si>
  <si>
    <t>měsíční příjem je vždy chápán jako hrubý, tzn. neuvažujte zdanění</t>
  </si>
  <si>
    <t>Každá slovní odpověď by měla být doložena výpočtem</t>
  </si>
  <si>
    <t>Doporučuji Vám začít se zpracováním přehledné tabulky nákladů, tržeb, marže, zisku,…</t>
  </si>
  <si>
    <r>
      <t xml:space="preserve">3. Jaký je Váš </t>
    </r>
    <r>
      <rPr>
        <b/>
        <sz val="12"/>
        <color theme="1"/>
        <rFont val="Calibri"/>
        <family val="2"/>
        <charset val="238"/>
        <scheme val="minor"/>
      </rPr>
      <t>maximální možný měsíční příjem</t>
    </r>
    <r>
      <rPr>
        <sz val="12"/>
        <color theme="1"/>
        <rFont val="Calibri"/>
        <family val="2"/>
        <charset val="238"/>
        <scheme val="minor"/>
      </rPr>
      <t xml:space="preserve"> z prodeje šálků, kterého můžete za daných okolností dosáhnout? (doporučuji, abyste nejdříve vypsali a vyčíslili všechny omezující faktory)</t>
    </r>
  </si>
  <si>
    <t>Administrativa 4 500,- / kvartálně</t>
  </si>
  <si>
    <t>Údržba 3000,- / kvartálně</t>
  </si>
  <si>
    <t>Fixní náklady CELKEM</t>
  </si>
  <si>
    <t>Stroj 92 000,- / 3 roky</t>
  </si>
  <si>
    <t>Instalace 4 500,- / 3 roky</t>
  </si>
  <si>
    <t>Fixní náklady ROČNĚ</t>
  </si>
  <si>
    <t>Variabilní náklady KUS</t>
  </si>
  <si>
    <t>Mléko / 210*1,05 ml</t>
  </si>
  <si>
    <t>Káva / 70% arabica (z 9g) * 1,05</t>
  </si>
  <si>
    <t>Káva / 30% robusta (z 9g) * 1,05</t>
  </si>
  <si>
    <t>Šálek / 1 kus</t>
  </si>
  <si>
    <t>Potisk / 1 kus</t>
  </si>
  <si>
    <t>Norma spotřeby na 1 ks</t>
  </si>
  <si>
    <t>Variabilní náklady CELKEM</t>
  </si>
  <si>
    <t>Káva Espresso 280 ml</t>
  </si>
  <si>
    <t>Prodejní marže KUS</t>
  </si>
  <si>
    <t>1.</t>
  </si>
  <si>
    <t>Marže na ks</t>
  </si>
  <si>
    <t>Roční provozní náklady</t>
  </si>
  <si>
    <t>2.</t>
  </si>
  <si>
    <t>Prodej v ks</t>
  </si>
  <si>
    <t>Roční FN</t>
  </si>
  <si>
    <t>Mezivýpočet (PŘÍJEM + FN)</t>
  </si>
  <si>
    <t>3.</t>
  </si>
  <si>
    <t>Doba výroby 1 šálku</t>
  </si>
  <si>
    <t>Kalendářní měsíc má 30 dnů</t>
  </si>
  <si>
    <t>V zadání se nepředpokládá s bombovými útoky na VŠE v průběhu semestru nebo zkouškovém období</t>
  </si>
  <si>
    <t>Počet dnů prodeje</t>
  </si>
  <si>
    <t>Roční kapacita (ks)</t>
  </si>
  <si>
    <t>Předpokládejte, že obsluhu budete provádět sami. Hodláte pracovat 7 hodin (od 9:00 do 16:00) denně, resp. ve dnech zkouškového období a semestru a kdy je otevřená VŠE. Nájemné je placeno za kalendářní měsíce rovnoměrně za pronajatý prostor. Máte zjišťěno, že budovy VŠE na Žižkově navštěvuje cca 13 500 osob (studenti, akademičtí pracovníci a další zaměstnanci). Na základě výzkumů publikovaných v odborném tisku odhadujete, že cca 63,5 % dospělé populace v ČR pije alespoň jednou denně kávu a odhadujete, že více než 2x denně pije kávu cca 85 % z nich. Máte za to, že díky zvolené marketingové strategii dokážene oslovit alespoň 25 % potenciálních zákazníků a očekáváte, že průchod školou v příslušných akademických dnech je cca 4 500 lidí denně. Víte, že konkurence prodává obdobný produkt za 55 Kč vč. DPH a Vy jste se rozhodli první rok prodávat svůj produkt za stejnou cenu.</t>
  </si>
  <si>
    <t>Prodejní cena KUS (DPH 15%)</t>
  </si>
  <si>
    <t>Marketing 85 000,-</t>
  </si>
  <si>
    <r>
      <t xml:space="preserve">K pokrytí měsíčních provozních nákladů musím každý měsíc prodat alespoň </t>
    </r>
    <r>
      <rPr>
        <b/>
        <sz val="12"/>
        <color theme="1"/>
        <rFont val="Calibri"/>
        <family val="2"/>
        <charset val="238"/>
        <scheme val="minor"/>
      </rPr>
      <t>396,5 (397) ks</t>
    </r>
    <r>
      <rPr>
        <sz val="12"/>
        <color theme="1"/>
        <rFont val="Calibri"/>
        <family val="2"/>
        <charset val="238"/>
        <scheme val="minor"/>
      </rPr>
      <t xml:space="preserve"> šálků Espressa.</t>
    </r>
  </si>
  <si>
    <r>
      <t xml:space="preserve">Pro hrubý měsíční výdělek 45 000,- Kč musím každý měsíc prodat alespoň </t>
    </r>
    <r>
      <rPr>
        <b/>
        <sz val="12"/>
        <color theme="1"/>
        <rFont val="Calibri"/>
        <family val="2"/>
        <charset val="238"/>
        <scheme val="minor"/>
      </rPr>
      <t>1738,5 (1739) ks</t>
    </r>
    <r>
      <rPr>
        <sz val="12"/>
        <color theme="1"/>
        <rFont val="Calibri"/>
        <family val="2"/>
        <charset val="238"/>
        <scheme val="minor"/>
      </rPr>
      <t xml:space="preserve"> šálků Espressa.</t>
    </r>
  </si>
  <si>
    <t>4.</t>
  </si>
  <si>
    <t>5.</t>
  </si>
  <si>
    <t>Změna maximálního zisku při 5+1</t>
  </si>
  <si>
    <t>Max. potenciální zisk</t>
  </si>
  <si>
    <t>Změna tržeb</t>
  </si>
  <si>
    <t>6.</t>
  </si>
  <si>
    <t>Maximální denní prodej (ks)</t>
  </si>
  <si>
    <t>Potenciální klientela</t>
  </si>
  <si>
    <t>Zvýšení variabilních nákladů o</t>
  </si>
  <si>
    <t>Zvýšení ročního poptávaného množství o</t>
  </si>
  <si>
    <t>Snížená zisková marže u takto prodaných výrobků</t>
  </si>
  <si>
    <t>Nové poptávané množství</t>
  </si>
  <si>
    <r>
      <t xml:space="preserve">Maximální možný měsíční příjem z prodeje šálků, kterého můžu za daných okolností dosáhnout je </t>
    </r>
    <r>
      <rPr>
        <b/>
        <sz val="12"/>
        <color theme="1"/>
        <rFont val="Calibri"/>
        <family val="2"/>
        <charset val="238"/>
        <scheme val="minor"/>
      </rPr>
      <t>119 721,66 Kč (vzhledem ke kapacitě pracovní doby).</t>
    </r>
  </si>
  <si>
    <t>a) Změna ceny kávy o 1%</t>
  </si>
  <si>
    <t>b) Změna ceny nájmu o 1%</t>
  </si>
  <si>
    <t>c) Změna prodejní ceny o 1%</t>
  </si>
  <si>
    <t>d) Změna ceny nák. šálku o 1%</t>
  </si>
  <si>
    <t>Potenciál zvýšení max. ročního zisku</t>
  </si>
  <si>
    <r>
      <t xml:space="preserve">Za daných okolností se </t>
    </r>
    <r>
      <rPr>
        <b/>
        <sz val="12"/>
        <color theme="1"/>
        <rFont val="Calibri"/>
        <family val="2"/>
        <charset val="238"/>
        <scheme val="minor"/>
      </rPr>
      <t xml:space="preserve">nerozhodnu pro spuštění kampaně, </t>
    </r>
    <r>
      <rPr>
        <sz val="12"/>
        <color theme="1"/>
        <rFont val="Calibri"/>
        <family val="2"/>
        <charset val="238"/>
        <scheme val="minor"/>
      </rPr>
      <t xml:space="preserve">a to z toho důvodu, že zvýšení poptávky nepovede k zvýšení tržeb kvůli tomu, že jsem časově omezen svou pracovní dobou. Abych se pro její spuštení rozhodl, </t>
    </r>
    <r>
      <rPr>
        <b/>
        <sz val="12"/>
        <color theme="1"/>
        <rFont val="Calibri"/>
        <family val="2"/>
        <charset val="238"/>
        <scheme val="minor"/>
      </rPr>
      <t>musel bych navýšit mé výrobní kapacity (pracovní i strojové) alespoň 7x</t>
    </r>
    <r>
      <rPr>
        <sz val="12"/>
        <color theme="1"/>
        <rFont val="Calibri"/>
        <family val="2"/>
        <charset val="238"/>
        <scheme val="minor"/>
      </rPr>
      <t>. Za takových podmínek by se zvýšil potenciál mých ročních tržeb</t>
    </r>
    <r>
      <rPr>
        <b/>
        <sz val="12"/>
        <color theme="1"/>
        <rFont val="Calibri"/>
        <family val="2"/>
        <charset val="238"/>
        <scheme val="minor"/>
      </rPr>
      <t xml:space="preserve"> o 124 773,46,- Kč</t>
    </r>
    <r>
      <rPr>
        <sz val="12"/>
        <color theme="1"/>
        <rFont val="Calibri"/>
        <family val="2"/>
        <charset val="238"/>
        <scheme val="minor"/>
      </rPr>
      <t xml:space="preserve">. Pokud bych navýšil výrobní kapacitu 8x, tak by se zvýšil potenciál mých ročních tržeb </t>
    </r>
    <r>
      <rPr>
        <b/>
        <sz val="12"/>
        <color theme="1"/>
        <rFont val="Calibri"/>
        <family val="2"/>
        <charset val="238"/>
        <scheme val="minor"/>
      </rPr>
      <t>o 1 170 220,- Kč.</t>
    </r>
  </si>
  <si>
    <t>Zvýšení pracovní kapacity</t>
  </si>
  <si>
    <t>Zvýšení strojní kapacity</t>
  </si>
  <si>
    <t>b) 15% potenciální klientely přejde ke konkurenci</t>
  </si>
  <si>
    <r>
      <t xml:space="preserve">Rozhodnu se </t>
    </r>
    <r>
      <rPr>
        <b/>
        <sz val="12"/>
        <color theme="1"/>
        <rFont val="Calibri"/>
        <family val="2"/>
        <charset val="238"/>
        <scheme val="minor"/>
      </rPr>
      <t>pro ztrátu tržeb 15%</t>
    </r>
    <r>
      <rPr>
        <sz val="12"/>
        <color theme="1"/>
        <rFont val="Calibri"/>
        <family val="2"/>
        <charset val="238"/>
        <scheme val="minor"/>
      </rPr>
      <t>, jelikož akce 5+1 pro mě znamená při využití max. potenciálu svých kapacit ztrátu 16,67% tržeb. Za druhé svou maximální poptávku už v aktuální chvíli nevyužívám ani z 15%, proto mi omezení na straně poptávky neublíží vůbec.</t>
    </r>
  </si>
  <si>
    <t>Roční náklad na pracovníka</t>
  </si>
  <si>
    <t>Max. tržby poptávka ROK</t>
  </si>
  <si>
    <t>Max. tržby strojní kapacita ROK</t>
  </si>
  <si>
    <t>Max. tržby pracovní doba ROK</t>
  </si>
  <si>
    <t>Maximální možný roční tržby</t>
  </si>
  <si>
    <t>Max. tržby při změně o 1%</t>
  </si>
  <si>
    <t>Bod zvratu na FN ks ročně</t>
  </si>
  <si>
    <t>Nájem 4m2 258,- / měsíčně</t>
  </si>
  <si>
    <t>Změna maximálního zisku</t>
  </si>
  <si>
    <t>* ale je možné uvažovat tak, že pokles pot. zákazníků nás neovlivní, protože pořád je vyšší poptávka než naše kapacita</t>
  </si>
  <si>
    <t xml:space="preserve">kapacita tržby není závislá na změně ceny </t>
  </si>
  <si>
    <t>kapacita tržby není závislá na změně nájmu</t>
  </si>
  <si>
    <t xml:space="preserve">přímá úměra </t>
  </si>
  <si>
    <t>kapacita tržby není závislá na změně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</si>
</sst>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0&quot; g&quot;"/>
    <numFmt numFmtId="166" formatCode="#,##0.0&quot; ml&quot;"/>
    <numFmt numFmtId="167" formatCode="#,##0&quot; ks&quot;"/>
    <numFmt numFmtId="168" formatCode="#,##0.00&quot; sec&quot;"/>
    <numFmt numFmtId="169" formatCode="#,##0.00&quot; dnů&quot;"/>
    <numFmt numFmtId="170" formatCode="#,##0&quot; krát&quot;"/>
  </numFmts>
  <fonts count="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rgb="FF7030A0"/>
      <name val="Trebuchet MS"/>
      <family val="2"/>
    </font>
    <font>
      <b/>
      <sz val="12"/>
      <color theme="1"/>
      <name val="Trebuchet MS"/>
      <family val="2"/>
      <charset val="238"/>
    </font>
    <font>
      <b/>
      <sz val="12"/>
      <color rgb="FF7030A0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 (Základní text)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44" fontId="0" fillId="2" borderId="9" xfId="1" applyFont="1" applyFill="1" applyBorder="1"/>
    <xf numFmtId="44" fontId="0" fillId="2" borderId="12" xfId="1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left" vertical="top" wrapText="1"/>
    </xf>
    <xf numFmtId="0" fontId="4" fillId="3" borderId="0" xfId="0" applyFont="1" applyFill="1"/>
    <xf numFmtId="3" fontId="0" fillId="3" borderId="0" xfId="0" applyNumberFormat="1" applyFill="1"/>
    <xf numFmtId="9" fontId="0" fillId="3" borderId="0" xfId="0" applyNumberFormat="1" applyFill="1"/>
    <xf numFmtId="0" fontId="0" fillId="3" borderId="18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2" xfId="0" applyFill="1" applyBorder="1"/>
    <xf numFmtId="0" fontId="0" fillId="3" borderId="24" xfId="0" applyFill="1" applyBorder="1"/>
    <xf numFmtId="0" fontId="0" fillId="3" borderId="28" xfId="0" applyFill="1" applyBorder="1"/>
    <xf numFmtId="0" fontId="0" fillId="3" borderId="20" xfId="0" applyFill="1" applyBorder="1"/>
    <xf numFmtId="0" fontId="0" fillId="3" borderId="23" xfId="0" applyFill="1" applyBorder="1"/>
    <xf numFmtId="0" fontId="0" fillId="3" borderId="29" xfId="0" applyFill="1" applyBorder="1"/>
    <xf numFmtId="0" fontId="0" fillId="3" borderId="15" xfId="0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4" fillId="3" borderId="2" xfId="0" applyFont="1" applyFill="1" applyBorder="1"/>
    <xf numFmtId="164" fontId="2" fillId="3" borderId="0" xfId="0" applyNumberFormat="1" applyFont="1" applyFill="1"/>
    <xf numFmtId="164" fontId="2" fillId="3" borderId="9" xfId="0" applyNumberFormat="1" applyFont="1" applyFill="1" applyBorder="1"/>
    <xf numFmtId="0" fontId="4" fillId="3" borderId="3" xfId="0" applyFont="1" applyFill="1" applyBorder="1"/>
    <xf numFmtId="44" fontId="2" fillId="3" borderId="11" xfId="1" applyFont="1" applyFill="1" applyBorder="1"/>
    <xf numFmtId="44" fontId="2" fillId="3" borderId="12" xfId="1" applyFont="1" applyFill="1" applyBorder="1"/>
    <xf numFmtId="0" fontId="6" fillId="3" borderId="29" xfId="0" applyFont="1" applyFill="1" applyBorder="1"/>
    <xf numFmtId="0" fontId="6" fillId="3" borderId="23" xfId="0" applyFont="1" applyFill="1" applyBorder="1"/>
    <xf numFmtId="3" fontId="6" fillId="3" borderId="23" xfId="0" applyNumberFormat="1" applyFont="1" applyFill="1" applyBorder="1"/>
    <xf numFmtId="44" fontId="6" fillId="3" borderId="23" xfId="0" applyNumberFormat="1" applyFont="1" applyFill="1" applyBorder="1"/>
    <xf numFmtId="44" fontId="0" fillId="2" borderId="6" xfId="1" applyFont="1" applyFill="1" applyBorder="1"/>
    <xf numFmtId="44" fontId="0" fillId="2" borderId="0" xfId="1" applyFont="1" applyFill="1" applyBorder="1"/>
    <xf numFmtId="0" fontId="3" fillId="3" borderId="1" xfId="0" applyFont="1" applyFill="1" applyBorder="1" applyAlignment="1">
      <alignment horizontal="center" vertical="center"/>
    </xf>
    <xf numFmtId="165" fontId="0" fillId="3" borderId="30" xfId="0" applyNumberFormat="1" applyFill="1" applyBorder="1" applyAlignment="1">
      <alignment horizontal="center" vertical="center"/>
    </xf>
    <xf numFmtId="165" fontId="0" fillId="3" borderId="32" xfId="0" applyNumberFormat="1" applyFill="1" applyBorder="1" applyAlignment="1">
      <alignment horizontal="center" vertical="center"/>
    </xf>
    <xf numFmtId="166" fontId="0" fillId="3" borderId="32" xfId="0" applyNumberFormat="1" applyFill="1" applyBorder="1" applyAlignment="1">
      <alignment horizontal="center" vertical="center"/>
    </xf>
    <xf numFmtId="167" fontId="0" fillId="3" borderId="32" xfId="0" applyNumberFormat="1" applyFill="1" applyBorder="1" applyAlignment="1">
      <alignment horizontal="center" vertical="center"/>
    </xf>
    <xf numFmtId="167" fontId="0" fillId="3" borderId="31" xfId="0" applyNumberFormat="1" applyFill="1" applyBorder="1" applyAlignment="1">
      <alignment horizontal="center" vertical="center"/>
    </xf>
    <xf numFmtId="44" fontId="0" fillId="3" borderId="0" xfId="0" applyNumberFormat="1" applyFill="1"/>
    <xf numFmtId="0" fontId="0" fillId="3" borderId="1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/>
    <xf numFmtId="0" fontId="0" fillId="3" borderId="10" xfId="0" applyFill="1" applyBorder="1"/>
    <xf numFmtId="44" fontId="0" fillId="2" borderId="9" xfId="0" applyNumberFormat="1" applyFill="1" applyBorder="1" applyAlignment="1">
      <alignment horizontal="right" indent="1"/>
    </xf>
    <xf numFmtId="167" fontId="0" fillId="2" borderId="12" xfId="0" applyNumberFormat="1" applyFill="1" applyBorder="1" applyAlignment="1">
      <alignment horizontal="right" indent="1"/>
    </xf>
    <xf numFmtId="0" fontId="0" fillId="3" borderId="7" xfId="0" applyFill="1" applyBorder="1"/>
    <xf numFmtId="44" fontId="0" fillId="2" borderId="17" xfId="0" applyNumberFormat="1" applyFill="1" applyBorder="1" applyAlignment="1">
      <alignment horizontal="right" indent="1"/>
    </xf>
    <xf numFmtId="0" fontId="0" fillId="3" borderId="33" xfId="0" applyFill="1" applyBorder="1"/>
    <xf numFmtId="44" fontId="0" fillId="2" borderId="34" xfId="0" applyNumberFormat="1" applyFill="1" applyBorder="1" applyAlignment="1">
      <alignment horizontal="right" indent="1"/>
    </xf>
    <xf numFmtId="0" fontId="0" fillId="3" borderId="35" xfId="0" applyFill="1" applyBorder="1"/>
    <xf numFmtId="44" fontId="0" fillId="2" borderId="36" xfId="0" applyNumberFormat="1" applyFill="1" applyBorder="1" applyAlignment="1">
      <alignment horizontal="right" indent="1"/>
    </xf>
    <xf numFmtId="10" fontId="0" fillId="3" borderId="0" xfId="0" applyNumberFormat="1" applyFill="1"/>
    <xf numFmtId="0" fontId="3" fillId="3" borderId="15" xfId="0" applyFont="1" applyFill="1" applyBorder="1" applyAlignment="1">
      <alignment horizontal="center" vertical="center"/>
    </xf>
    <xf numFmtId="168" fontId="0" fillId="2" borderId="17" xfId="0" applyNumberFormat="1" applyFill="1" applyBorder="1" applyAlignment="1">
      <alignment horizontal="right" indent="1"/>
    </xf>
    <xf numFmtId="44" fontId="0" fillId="2" borderId="9" xfId="1" applyFont="1" applyFill="1" applyBorder="1" applyAlignment="1">
      <alignment horizontal="right" indent="1"/>
    </xf>
    <xf numFmtId="169" fontId="0" fillId="2" borderId="12" xfId="0" applyNumberFormat="1" applyFill="1" applyBorder="1" applyAlignment="1">
      <alignment horizontal="right" indent="1"/>
    </xf>
    <xf numFmtId="10" fontId="0" fillId="2" borderId="9" xfId="2" applyNumberFormat="1" applyFont="1" applyFill="1" applyBorder="1" applyAlignment="1">
      <alignment horizontal="right" indent="1"/>
    </xf>
    <xf numFmtId="10" fontId="0" fillId="2" borderId="12" xfId="2" applyNumberFormat="1" applyFont="1" applyFill="1" applyBorder="1" applyAlignment="1">
      <alignment horizontal="right" indent="1"/>
    </xf>
    <xf numFmtId="44" fontId="0" fillId="2" borderId="12" xfId="0" applyNumberFormat="1" applyFill="1" applyBorder="1" applyAlignment="1">
      <alignment horizontal="right" indent="1"/>
    </xf>
    <xf numFmtId="0" fontId="3" fillId="3" borderId="17" xfId="0" applyFont="1" applyFill="1" applyBorder="1" applyAlignment="1">
      <alignment horizontal="center" vertical="center"/>
    </xf>
    <xf numFmtId="167" fontId="0" fillId="2" borderId="9" xfId="0" applyNumberFormat="1" applyFill="1" applyBorder="1" applyAlignment="1">
      <alignment horizontal="center" vertical="center"/>
    </xf>
    <xf numFmtId="44" fontId="0" fillId="3" borderId="32" xfId="1" applyFont="1" applyFill="1" applyBorder="1" applyAlignment="1">
      <alignment horizontal="center" vertical="center"/>
    </xf>
    <xf numFmtId="170" fontId="0" fillId="3" borderId="32" xfId="0" applyNumberFormat="1" applyFill="1" applyBorder="1" applyAlignment="1">
      <alignment horizontal="center" vertical="center"/>
    </xf>
    <xf numFmtId="44" fontId="0" fillId="2" borderId="0" xfId="0" applyNumberFormat="1" applyFill="1" applyAlignment="1">
      <alignment horizontal="right" indent="1"/>
    </xf>
    <xf numFmtId="44" fontId="0" fillId="2" borderId="11" xfId="0" applyNumberFormat="1" applyFill="1" applyBorder="1" applyAlignment="1">
      <alignment horizontal="right" indent="1"/>
    </xf>
    <xf numFmtId="44" fontId="0" fillId="3" borderId="37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9" fontId="0" fillId="3" borderId="32" xfId="2" applyFont="1" applyFill="1" applyBorder="1" applyAlignment="1">
      <alignment horizontal="center" vertical="center"/>
    </xf>
    <xf numFmtId="10" fontId="0" fillId="3" borderId="32" xfId="2" applyNumberFormat="1" applyFont="1" applyFill="1" applyBorder="1" applyAlignment="1">
      <alignment horizontal="center" vertical="center"/>
    </xf>
    <xf numFmtId="10" fontId="0" fillId="3" borderId="31" xfId="2" applyNumberFormat="1" applyFont="1" applyFill="1" applyBorder="1" applyAlignment="1">
      <alignment horizontal="center" vertical="center"/>
    </xf>
    <xf numFmtId="0" fontId="7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27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22" xfId="0" applyFill="1" applyBorder="1" applyAlignment="1">
      <alignment horizontal="left" wrapText="1"/>
    </xf>
    <xf numFmtId="0" fontId="0" fillId="3" borderId="23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7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3" borderId="22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25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6" fillId="3" borderId="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</cellXfs>
  <cellStyles count="3">
    <cellStyle name="Currency" xfId="1" builtinId="4"/>
    <cellStyle name="Normal" xfId="0" builtinId="0"/>
    <cellStyle name="Per cent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Průběh </a:t>
            </a:r>
            <a:r>
              <a:rPr lang="cs-CZ" b="1" baseline="0"/>
              <a:t>N a V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Pomucka!$E$3</c:f>
              <c:strCache>
                <c:ptCount val="1"/>
                <c:pt idx="0">
                  <c:v>Tržby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Pomucka!$F$2:$L$2</c:f>
              <c:numCache>
                <c:formatCode>General</c:formatCode>
                <c:ptCount val="7"/>
                <c:pt idx="0">
                  <c:v>0</c:v>
                </c:pt>
                <c:pt idx="1">
                  <c:v>1758</c:v>
                </c:pt>
                <c:pt idx="2">
                  <c:v>3258</c:v>
                </c:pt>
                <c:pt idx="3">
                  <c:v>4758</c:v>
                </c:pt>
                <c:pt idx="4">
                  <c:v>6258</c:v>
                </c:pt>
                <c:pt idx="5">
                  <c:v>7758</c:v>
                </c:pt>
                <c:pt idx="6">
                  <c:v>9258</c:v>
                </c:pt>
              </c:numCache>
            </c:numRef>
          </c:cat>
          <c:val>
            <c:numRef>
              <c:f>Pomucka!$F$3:$L$3</c:f>
              <c:numCache>
                <c:formatCode>_-* #\ ##0.00\ [$Kč-405]_-;\-* #\ ##0.00\ [$Kč-405]_-;_-* "-"??\ [$Kč-405]_-;_-@_-</c:formatCode>
                <c:ptCount val="7"/>
                <c:pt idx="0">
                  <c:v>0</c:v>
                </c:pt>
                <c:pt idx="1">
                  <c:v>84078.260869565216</c:v>
                </c:pt>
                <c:pt idx="2">
                  <c:v>155817.39130434784</c:v>
                </c:pt>
                <c:pt idx="3">
                  <c:v>227556.52173913046</c:v>
                </c:pt>
                <c:pt idx="4">
                  <c:v>299295.65217391308</c:v>
                </c:pt>
                <c:pt idx="5">
                  <c:v>371034.78260869568</c:v>
                </c:pt>
                <c:pt idx="6">
                  <c:v>442773.91304347827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A-4102-81D8-388DE62A4693}"/>
            </c:ext>
          </c:extLst>
        </c:ser>
        <c:ser>
          <c:idx val="1"/>
          <c:order val="1"/>
          <c:tx>
            <c:strRef>
              <c:f>Pomucka!$E$4</c:f>
              <c:strCache>
                <c:ptCount val="1"/>
                <c:pt idx="0">
                  <c:v>FN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Pomucka!$F$2:$L$2</c:f>
              <c:numCache>
                <c:formatCode>General</c:formatCode>
                <c:ptCount val="7"/>
                <c:pt idx="0">
                  <c:v>0</c:v>
                </c:pt>
                <c:pt idx="1">
                  <c:v>1758</c:v>
                </c:pt>
                <c:pt idx="2">
                  <c:v>3258</c:v>
                </c:pt>
                <c:pt idx="3">
                  <c:v>4758</c:v>
                </c:pt>
                <c:pt idx="4">
                  <c:v>6258</c:v>
                </c:pt>
                <c:pt idx="5">
                  <c:v>7758</c:v>
                </c:pt>
                <c:pt idx="6">
                  <c:v>9258</c:v>
                </c:pt>
              </c:numCache>
            </c:numRef>
          </c:cat>
          <c:val>
            <c:numRef>
              <c:f>Pomucka!$F$4:$L$4</c:f>
              <c:numCache>
                <c:formatCode>_-* #\ ##0.00\ [$Kč-405]_-;\-* #\ ##0.00\ [$Kč-405]_-;_-* "-"??\ [$Kč-405]_-;_-@_-</c:formatCode>
                <c:ptCount val="7"/>
                <c:pt idx="0">
                  <c:v>159550.66666666669</c:v>
                </c:pt>
                <c:pt idx="1">
                  <c:v>159550.66666666669</c:v>
                </c:pt>
                <c:pt idx="2">
                  <c:v>159550.66666666669</c:v>
                </c:pt>
                <c:pt idx="3">
                  <c:v>159550.66666666669</c:v>
                </c:pt>
                <c:pt idx="4">
                  <c:v>159550.66666666669</c:v>
                </c:pt>
                <c:pt idx="5">
                  <c:v>159550.66666666669</c:v>
                </c:pt>
                <c:pt idx="6">
                  <c:v>159550.66666666669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A-4102-81D8-388DE62A4693}"/>
            </c:ext>
          </c:extLst>
        </c:ser>
        <c:ser>
          <c:idx val="2"/>
          <c:order val="2"/>
          <c:tx>
            <c:strRef>
              <c:f>Pomucka!$E$5</c:f>
              <c:strCache>
                <c:ptCount val="1"/>
                <c:pt idx="0">
                  <c:v>VN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Pomucka!$F$2:$L$2</c:f>
              <c:numCache>
                <c:formatCode>General</c:formatCode>
                <c:ptCount val="7"/>
                <c:pt idx="0">
                  <c:v>0</c:v>
                </c:pt>
                <c:pt idx="1">
                  <c:v>1758</c:v>
                </c:pt>
                <c:pt idx="2">
                  <c:v>3258</c:v>
                </c:pt>
                <c:pt idx="3">
                  <c:v>4758</c:v>
                </c:pt>
                <c:pt idx="4">
                  <c:v>6258</c:v>
                </c:pt>
                <c:pt idx="5">
                  <c:v>7758</c:v>
                </c:pt>
                <c:pt idx="6">
                  <c:v>9258</c:v>
                </c:pt>
              </c:numCache>
            </c:numRef>
          </c:cat>
          <c:val>
            <c:numRef>
              <c:f>Pomucka!$F$5:$L$5</c:f>
              <c:numCache>
                <c:formatCode>_-* #\ ##0.00\ [$Kč-405]_-;\-* #\ ##0.00\ [$Kč-405]_-;_-* "-"??\ [$Kč-405]_-;_-@_-</c:formatCode>
                <c:ptCount val="7"/>
                <c:pt idx="0">
                  <c:v>0</c:v>
                </c:pt>
                <c:pt idx="1">
                  <c:v>25125.775500000003</c:v>
                </c:pt>
                <c:pt idx="2">
                  <c:v>46564.150500000003</c:v>
                </c:pt>
                <c:pt idx="3">
                  <c:v>68002.525500000003</c:v>
                </c:pt>
                <c:pt idx="4">
                  <c:v>89440.900500000003</c:v>
                </c:pt>
                <c:pt idx="5">
                  <c:v>110879.2755</c:v>
                </c:pt>
                <c:pt idx="6">
                  <c:v>132317.65050000002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A-4102-81D8-388DE62A4693}"/>
            </c:ext>
          </c:extLst>
        </c:ser>
        <c:ser>
          <c:idx val="3"/>
          <c:order val="3"/>
          <c:tx>
            <c:strRef>
              <c:f>Pomucka!$E$6</c:f>
              <c:strCache>
                <c:ptCount val="1"/>
                <c:pt idx="0">
                  <c:v>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Pomucka!$F$2:$L$2</c:f>
              <c:numCache>
                <c:formatCode>General</c:formatCode>
                <c:ptCount val="7"/>
                <c:pt idx="0">
                  <c:v>0</c:v>
                </c:pt>
                <c:pt idx="1">
                  <c:v>1758</c:v>
                </c:pt>
                <c:pt idx="2">
                  <c:v>3258</c:v>
                </c:pt>
                <c:pt idx="3">
                  <c:v>4758</c:v>
                </c:pt>
                <c:pt idx="4">
                  <c:v>6258</c:v>
                </c:pt>
                <c:pt idx="5">
                  <c:v>7758</c:v>
                </c:pt>
                <c:pt idx="6">
                  <c:v>9258</c:v>
                </c:pt>
              </c:numCache>
            </c:numRef>
          </c:cat>
          <c:val>
            <c:numRef>
              <c:f>Pomucka!$F$6:$L$6</c:f>
              <c:numCache>
                <c:formatCode>_-* #\ ##0.00\ [$Kč-405]_-;\-* #\ ##0.00\ [$Kč-405]_-;_-* "-"??\ [$Kč-405]_-;_-@_-</c:formatCode>
                <c:ptCount val="7"/>
                <c:pt idx="0">
                  <c:v>159550.66666666669</c:v>
                </c:pt>
                <c:pt idx="1">
                  <c:v>184676.44216666667</c:v>
                </c:pt>
                <c:pt idx="2">
                  <c:v>206114.81716666667</c:v>
                </c:pt>
                <c:pt idx="3">
                  <c:v>227553.19216666667</c:v>
                </c:pt>
                <c:pt idx="4">
                  <c:v>248991.56716666667</c:v>
                </c:pt>
                <c:pt idx="5">
                  <c:v>270429.94216666667</c:v>
                </c:pt>
                <c:pt idx="6">
                  <c:v>291868.31716666673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A-4102-81D8-388DE62A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738016"/>
        <c:axId val="1098343264"/>
      </c:lineChart>
      <c:catAx>
        <c:axId val="110473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8343264"/>
        <c:crosses val="autoZero"/>
        <c:auto val="1"/>
        <c:lblAlgn val="ctr"/>
        <c:lblOffset val="100"/>
        <c:noMultiLvlLbl val="0"/>
      </c:catAx>
      <c:valAx>
        <c:axId val="109834326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Kč-405]_-;\-* #\ ##0.00\ [$Kč-405]_-;_-* &quot;-&quot;??\ [$Kč-405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473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pixabay.com/en/coffee-shop-shop-store-coffee-cup-220225/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1510393</xdr:colOff>
      <xdr:row>0</xdr:row>
      <xdr:rowOff>0</xdr:rowOff>
    </xdr:from>
    <xdr:to>
      <xdr:col>1</xdr:col>
      <xdr:colOff>857533</xdr:colOff>
      <xdr:row>12</xdr:row>
      <xdr:rowOff>54428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1C05980F-26B4-40D3-9E0D-64B46637D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510393" y="0"/>
          <a:ext cx="3456497" cy="2503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12</xdr:col>
      <xdr:colOff>0</xdr:colOff>
      <xdr:row>26</xdr:row>
      <xdr:rowOff>129427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089B82E-CC33-4640-ACB1-10B33F0D0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B37A-90D9-034A-9F47-7E96A4079CFC}">
  <dimension ref="A14:K83"/>
  <sheetViews>
    <sheetView tabSelected="1" topLeftCell="A32" zoomScale="129" zoomScaleNormal="129" workbookViewId="0">
      <selection activeCell="A42" sqref="A42:C48"/>
    </sheetView>
  </sheetViews>
  <sheetFormatPr defaultColWidth="10.875" defaultRowHeight="15.75"/>
  <cols>
    <col min="1" max="1" width="53.875" style="6" customWidth="1"/>
    <col min="2" max="2" width="15.625" style="6" bestFit="1" customWidth="1"/>
    <col min="3" max="3" width="17.5" style="6" customWidth="1"/>
    <col min="4" max="16384" width="10.875" style="6"/>
  </cols>
  <sheetData>
    <row r="14" spans="1:11" s="5" customFormat="1" ht="18">
      <c r="A14" s="77" t="s">
        <v>52</v>
      </c>
      <c r="B14" s="77"/>
      <c r="C14" s="77"/>
    </row>
    <row r="15" spans="1:11" s="5" customFormat="1" ht="18"/>
    <row r="16" spans="1:11" s="5" customFormat="1" ht="18">
      <c r="A16" s="8" t="s">
        <v>51</v>
      </c>
      <c r="D16" s="6"/>
      <c r="E16" s="6"/>
      <c r="F16" s="6"/>
      <c r="G16" s="6"/>
      <c r="H16" s="6"/>
      <c r="I16" s="6"/>
      <c r="J16" s="6"/>
      <c r="K16" s="6"/>
    </row>
    <row r="17" spans="1:3" ht="22.5" customHeight="1">
      <c r="A17" s="81" t="s">
        <v>33</v>
      </c>
      <c r="B17" s="82"/>
      <c r="C17" s="83"/>
    </row>
    <row r="18" spans="1:3" ht="12" customHeight="1">
      <c r="A18" s="84"/>
      <c r="B18" s="85"/>
      <c r="C18" s="86"/>
    </row>
    <row r="19" spans="1:3" ht="12" customHeight="1">
      <c r="A19" s="84"/>
      <c r="B19" s="85"/>
      <c r="C19" s="86"/>
    </row>
    <row r="20" spans="1:3" ht="12" customHeight="1">
      <c r="A20" s="84"/>
      <c r="B20" s="85"/>
      <c r="C20" s="86"/>
    </row>
    <row r="21" spans="1:3" ht="12" customHeight="1">
      <c r="A21" s="84"/>
      <c r="B21" s="85"/>
      <c r="C21" s="86"/>
    </row>
    <row r="22" spans="1:3" ht="12" customHeight="1">
      <c r="A22" s="84"/>
      <c r="B22" s="85"/>
      <c r="C22" s="86"/>
    </row>
    <row r="23" spans="1:3" ht="12" customHeight="1">
      <c r="A23" s="84"/>
      <c r="B23" s="85"/>
      <c r="C23" s="86"/>
    </row>
    <row r="24" spans="1:3" ht="12" customHeight="1">
      <c r="A24" s="84"/>
      <c r="B24" s="85"/>
      <c r="C24" s="86"/>
    </row>
    <row r="25" spans="1:3" ht="12" customHeight="1">
      <c r="A25" s="87"/>
      <c r="B25" s="88"/>
      <c r="C25" s="89"/>
    </row>
    <row r="26" spans="1:3" ht="16.5" thickBot="1"/>
    <row r="27" spans="1:3" ht="16.5" thickBot="1">
      <c r="A27" s="22" t="s">
        <v>2</v>
      </c>
    </row>
    <row r="28" spans="1:3">
      <c r="A28" s="20" t="s">
        <v>39</v>
      </c>
      <c r="B28" s="31">
        <v>280</v>
      </c>
      <c r="C28" s="18" t="s">
        <v>3</v>
      </c>
    </row>
    <row r="29" spans="1:3">
      <c r="A29" s="20" t="s">
        <v>6</v>
      </c>
      <c r="B29" s="32">
        <v>9</v>
      </c>
      <c r="C29" s="17" t="s">
        <v>7</v>
      </c>
    </row>
    <row r="30" spans="1:3">
      <c r="A30" s="20" t="s">
        <v>31</v>
      </c>
      <c r="B30" s="32">
        <v>30</v>
      </c>
      <c r="C30" s="17" t="s">
        <v>3</v>
      </c>
    </row>
    <row r="31" spans="1:3">
      <c r="A31" s="20" t="s">
        <v>4</v>
      </c>
      <c r="B31" s="32">
        <v>210</v>
      </c>
      <c r="C31" s="17" t="s">
        <v>3</v>
      </c>
    </row>
    <row r="32" spans="1:3">
      <c r="A32" s="90" t="s">
        <v>58</v>
      </c>
      <c r="B32" s="91"/>
      <c r="C32" s="92"/>
    </row>
    <row r="33" spans="1:5" ht="15.95" customHeight="1">
      <c r="A33" s="93"/>
      <c r="B33" s="94"/>
      <c r="C33" s="95"/>
    </row>
    <row r="34" spans="1:5" ht="16.5" thickBot="1"/>
    <row r="35" spans="1:5" ht="16.5" thickBot="1">
      <c r="A35" s="22" t="s">
        <v>16</v>
      </c>
    </row>
    <row r="36" spans="1:5">
      <c r="A36" s="20" t="s">
        <v>8</v>
      </c>
      <c r="B36" s="31">
        <v>8</v>
      </c>
      <c r="C36" s="18" t="s">
        <v>10</v>
      </c>
    </row>
    <row r="37" spans="1:5">
      <c r="A37" s="20" t="s">
        <v>9</v>
      </c>
      <c r="B37" s="32">
        <v>2</v>
      </c>
      <c r="C37" s="17" t="s">
        <v>11</v>
      </c>
    </row>
    <row r="38" spans="1:5">
      <c r="A38" s="20" t="s">
        <v>12</v>
      </c>
      <c r="B38" s="32">
        <v>2</v>
      </c>
      <c r="C38" s="17" t="s">
        <v>13</v>
      </c>
    </row>
    <row r="39" spans="1:5">
      <c r="A39" s="20" t="s">
        <v>14</v>
      </c>
      <c r="B39" s="32">
        <v>5</v>
      </c>
      <c r="C39" s="17" t="s">
        <v>10</v>
      </c>
    </row>
    <row r="40" spans="1:5">
      <c r="A40" s="21" t="s">
        <v>15</v>
      </c>
      <c r="B40" s="31">
        <v>20</v>
      </c>
      <c r="C40" s="18" t="s">
        <v>10</v>
      </c>
    </row>
    <row r="42" spans="1:5" ht="21.95" customHeight="1">
      <c r="A42" s="81" t="s">
        <v>102</v>
      </c>
      <c r="B42" s="82"/>
      <c r="C42" s="83"/>
      <c r="D42" s="56"/>
      <c r="E42" s="56"/>
    </row>
    <row r="43" spans="1:5" ht="21.95" customHeight="1">
      <c r="A43" s="84"/>
      <c r="B43" s="85"/>
      <c r="C43" s="86"/>
      <c r="D43" s="10"/>
      <c r="E43" s="10"/>
    </row>
    <row r="44" spans="1:5" ht="21.95" customHeight="1">
      <c r="A44" s="84"/>
      <c r="B44" s="85"/>
      <c r="C44" s="86"/>
      <c r="E44" s="10"/>
    </row>
    <row r="45" spans="1:5" ht="21.95" customHeight="1">
      <c r="A45" s="84"/>
      <c r="B45" s="85"/>
      <c r="C45" s="86"/>
    </row>
    <row r="46" spans="1:5" ht="21.95" customHeight="1">
      <c r="A46" s="84"/>
      <c r="B46" s="85"/>
      <c r="C46" s="86"/>
    </row>
    <row r="47" spans="1:5" ht="21.95" customHeight="1">
      <c r="A47" s="84"/>
      <c r="B47" s="85"/>
      <c r="C47" s="86"/>
    </row>
    <row r="48" spans="1:5" ht="21.95" customHeight="1">
      <c r="A48" s="87"/>
      <c r="B48" s="88"/>
      <c r="C48" s="89"/>
    </row>
    <row r="49" spans="1:3" ht="16.5" thickBot="1"/>
    <row r="50" spans="1:3" ht="16.5" thickBot="1">
      <c r="A50" s="22" t="s">
        <v>32</v>
      </c>
    </row>
    <row r="51" spans="1:3">
      <c r="A51" s="20" t="s">
        <v>17</v>
      </c>
      <c r="B51" s="31">
        <v>24.5</v>
      </c>
      <c r="C51" s="18" t="s">
        <v>5</v>
      </c>
    </row>
    <row r="52" spans="1:3">
      <c r="A52" s="20" t="s">
        <v>18</v>
      </c>
      <c r="B52" s="32">
        <v>200</v>
      </c>
      <c r="C52" s="17" t="s">
        <v>5</v>
      </c>
    </row>
    <row r="53" spans="1:3">
      <c r="A53" s="20" t="s">
        <v>19</v>
      </c>
      <c r="B53" s="32">
        <v>230</v>
      </c>
      <c r="C53" s="17" t="s">
        <v>5</v>
      </c>
    </row>
    <row r="54" spans="1:3">
      <c r="A54" s="20" t="s">
        <v>22</v>
      </c>
      <c r="B54" s="32">
        <v>5</v>
      </c>
      <c r="C54" s="17" t="s">
        <v>5</v>
      </c>
    </row>
    <row r="55" spans="1:3">
      <c r="A55" s="21" t="s">
        <v>23</v>
      </c>
      <c r="B55" s="31">
        <v>2</v>
      </c>
      <c r="C55" s="18" t="s">
        <v>5</v>
      </c>
    </row>
    <row r="56" spans="1:3" ht="16.5" thickBot="1"/>
    <row r="57" spans="1:3" ht="16.5" thickBot="1">
      <c r="A57" s="102" t="s">
        <v>34</v>
      </c>
      <c r="B57" s="103"/>
      <c r="C57" s="104"/>
    </row>
    <row r="58" spans="1:3">
      <c r="A58" s="20" t="s">
        <v>20</v>
      </c>
      <c r="B58" s="32">
        <v>92000</v>
      </c>
      <c r="C58" s="17" t="s">
        <v>5</v>
      </c>
    </row>
    <row r="59" spans="1:3">
      <c r="A59" s="20" t="s">
        <v>21</v>
      </c>
      <c r="B59" s="32">
        <v>4500</v>
      </c>
      <c r="C59" s="17" t="s">
        <v>5</v>
      </c>
    </row>
    <row r="60" spans="1:3">
      <c r="A60" s="20" t="s">
        <v>25</v>
      </c>
      <c r="B60" s="32">
        <v>300</v>
      </c>
      <c r="C60" s="17" t="s">
        <v>26</v>
      </c>
    </row>
    <row r="61" spans="1:3">
      <c r="A61" s="20" t="s">
        <v>27</v>
      </c>
      <c r="B61" s="32">
        <v>3</v>
      </c>
      <c r="C61" s="17" t="s">
        <v>28</v>
      </c>
    </row>
    <row r="62" spans="1:3">
      <c r="A62" s="21" t="s">
        <v>35</v>
      </c>
      <c r="B62" s="31">
        <v>1</v>
      </c>
      <c r="C62" s="18" t="s">
        <v>30</v>
      </c>
    </row>
    <row r="63" spans="1:3">
      <c r="A63" s="20" t="s">
        <v>36</v>
      </c>
      <c r="B63" s="31">
        <v>3000</v>
      </c>
      <c r="C63" s="18" t="s">
        <v>5</v>
      </c>
    </row>
    <row r="64" spans="1:3">
      <c r="A64" s="11" t="s">
        <v>37</v>
      </c>
      <c r="B64" s="9"/>
    </row>
    <row r="65" spans="1:3" ht="16.5" thickBot="1"/>
    <row r="66" spans="1:3" ht="16.5" thickBot="1">
      <c r="A66" s="102" t="s">
        <v>38</v>
      </c>
      <c r="B66" s="103"/>
      <c r="C66" s="104"/>
    </row>
    <row r="67" spans="1:3">
      <c r="A67" s="16" t="s">
        <v>24</v>
      </c>
      <c r="B67" s="33">
        <v>85000</v>
      </c>
      <c r="C67" s="17" t="s">
        <v>5</v>
      </c>
    </row>
    <row r="68" spans="1:3" ht="16.5" thickBot="1"/>
    <row r="69" spans="1:3">
      <c r="A69" s="96" t="s">
        <v>40</v>
      </c>
      <c r="B69" s="97"/>
      <c r="C69" s="98"/>
    </row>
    <row r="70" spans="1:3" ht="16.5" thickBot="1">
      <c r="A70" s="99"/>
      <c r="B70" s="100"/>
      <c r="C70" s="101"/>
    </row>
    <row r="71" spans="1:3">
      <c r="A71" s="16" t="s">
        <v>29</v>
      </c>
      <c r="B71" s="34">
        <v>4500</v>
      </c>
      <c r="C71" s="17" t="s">
        <v>30</v>
      </c>
    </row>
    <row r="73" spans="1:3">
      <c r="A73" s="78" t="s">
        <v>46</v>
      </c>
      <c r="B73" s="79"/>
      <c r="C73" s="80"/>
    </row>
    <row r="83" spans="8:8">
      <c r="H83" s="10"/>
    </row>
  </sheetData>
  <mergeCells count="8">
    <mergeCell ref="A14:C14"/>
    <mergeCell ref="A73:C73"/>
    <mergeCell ref="A17:C25"/>
    <mergeCell ref="A42:C48"/>
    <mergeCell ref="A32:C33"/>
    <mergeCell ref="A69:C70"/>
    <mergeCell ref="A57:C57"/>
    <mergeCell ref="A66:C66"/>
  </mergeCells>
  <pageMargins left="0.25" right="0.25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7AF4-3929-4417-BDAD-9FCFD8254EF4}">
  <sheetPr>
    <tabColor theme="7" tint="0.39997558519241921"/>
  </sheetPr>
  <dimension ref="A1:H36"/>
  <sheetViews>
    <sheetView zoomScale="130" zoomScaleNormal="130" workbookViewId="0">
      <selection activeCell="A26" sqref="A26:H27"/>
    </sheetView>
  </sheetViews>
  <sheetFormatPr defaultColWidth="9" defaultRowHeight="15.75"/>
  <cols>
    <col min="1" max="2" width="9" style="6"/>
    <col min="3" max="3" width="12.625" style="6" customWidth="1"/>
    <col min="4" max="6" width="9" style="6"/>
    <col min="7" max="7" width="29.125" style="6" customWidth="1"/>
    <col min="8" max="8" width="15.125" style="6" customWidth="1"/>
    <col min="9" max="16384" width="9" style="6"/>
  </cols>
  <sheetData>
    <row r="1" spans="1:8" ht="18">
      <c r="A1" s="8" t="s">
        <v>41</v>
      </c>
      <c r="B1" s="5"/>
      <c r="C1" s="5"/>
      <c r="D1" s="5"/>
      <c r="E1" s="5"/>
      <c r="F1" s="5"/>
      <c r="G1" s="5"/>
      <c r="H1" s="5"/>
    </row>
    <row r="2" spans="1:8">
      <c r="A2" s="108" t="s">
        <v>64</v>
      </c>
      <c r="B2" s="109"/>
      <c r="C2" s="109"/>
      <c r="D2" s="109"/>
      <c r="E2" s="109"/>
      <c r="F2" s="109"/>
      <c r="G2" s="109"/>
      <c r="H2" s="110"/>
    </row>
    <row r="3" spans="1:8">
      <c r="A3" s="118"/>
      <c r="B3" s="119"/>
      <c r="C3" s="119"/>
      <c r="D3" s="119"/>
      <c r="E3" s="119"/>
      <c r="F3" s="119"/>
      <c r="G3" s="119"/>
      <c r="H3" s="120"/>
    </row>
    <row r="4" spans="1:8" ht="18">
      <c r="A4" s="5"/>
      <c r="B4" s="5"/>
      <c r="C4" s="5"/>
      <c r="D4" s="5"/>
      <c r="E4" s="5"/>
      <c r="F4" s="5"/>
      <c r="G4" s="5"/>
      <c r="H4" s="5"/>
    </row>
    <row r="5" spans="1:8" ht="15.75" customHeight="1">
      <c r="A5" s="108" t="s">
        <v>61</v>
      </c>
      <c r="B5" s="109"/>
      <c r="C5" s="109"/>
      <c r="D5" s="109"/>
      <c r="E5" s="109"/>
      <c r="F5" s="109"/>
      <c r="G5" s="109"/>
      <c r="H5" s="110"/>
    </row>
    <row r="6" spans="1:8" ht="30.75" customHeight="1">
      <c r="A6" s="118"/>
      <c r="B6" s="119"/>
      <c r="C6" s="119"/>
      <c r="D6" s="119"/>
      <c r="E6" s="119"/>
      <c r="F6" s="119"/>
      <c r="G6" s="119"/>
      <c r="H6" s="120"/>
    </row>
    <row r="8" spans="1:8">
      <c r="A8" s="108" t="s">
        <v>72</v>
      </c>
      <c r="B8" s="109"/>
      <c r="C8" s="109"/>
      <c r="D8" s="109"/>
      <c r="E8" s="109"/>
      <c r="F8" s="109"/>
      <c r="G8" s="109"/>
      <c r="H8" s="110"/>
    </row>
    <row r="9" spans="1:8">
      <c r="A9" s="111"/>
      <c r="B9" s="112"/>
      <c r="C9" s="112"/>
      <c r="D9" s="112"/>
      <c r="E9" s="112"/>
      <c r="F9" s="112"/>
      <c r="G9" s="112"/>
      <c r="H9" s="113"/>
    </row>
    <row r="10" spans="1:8">
      <c r="A10" s="118"/>
      <c r="B10" s="119"/>
      <c r="C10" s="119"/>
      <c r="D10" s="119"/>
      <c r="E10" s="119"/>
      <c r="F10" s="119"/>
      <c r="G10" s="119"/>
      <c r="H10" s="120"/>
    </row>
    <row r="12" spans="1:8">
      <c r="A12" s="121" t="s">
        <v>62</v>
      </c>
      <c r="B12" s="122"/>
      <c r="C12" s="122"/>
      <c r="D12" s="122"/>
      <c r="E12" s="122"/>
      <c r="F12" s="122"/>
      <c r="G12" s="122"/>
      <c r="H12" s="123"/>
    </row>
    <row r="13" spans="1:8">
      <c r="A13" s="124"/>
      <c r="B13" s="125"/>
      <c r="C13" s="125"/>
      <c r="D13" s="125"/>
      <c r="E13" s="125"/>
      <c r="F13" s="125"/>
      <c r="G13" s="125"/>
      <c r="H13" s="126"/>
    </row>
    <row r="14" spans="1:8">
      <c r="A14" s="111" t="s">
        <v>43</v>
      </c>
      <c r="B14" s="112"/>
      <c r="C14" s="112"/>
      <c r="H14" s="15"/>
    </row>
    <row r="15" spans="1:8">
      <c r="A15" s="111" t="s">
        <v>42</v>
      </c>
      <c r="B15" s="112"/>
      <c r="C15" s="112"/>
      <c r="H15" s="15"/>
    </row>
    <row r="16" spans="1:8">
      <c r="A16" s="111" t="s">
        <v>44</v>
      </c>
      <c r="B16" s="112"/>
      <c r="C16" s="112"/>
      <c r="H16" s="15"/>
    </row>
    <row r="17" spans="1:8">
      <c r="A17" s="118" t="s">
        <v>45</v>
      </c>
      <c r="B17" s="119"/>
      <c r="C17" s="119"/>
      <c r="D17" s="20"/>
      <c r="E17" s="20"/>
      <c r="F17" s="20"/>
      <c r="G17" s="20"/>
      <c r="H17" s="17"/>
    </row>
    <row r="19" spans="1:8">
      <c r="A19" s="108" t="s">
        <v>63</v>
      </c>
      <c r="B19" s="109"/>
      <c r="C19" s="109"/>
      <c r="D19" s="109"/>
      <c r="E19" s="109"/>
      <c r="F19" s="109"/>
      <c r="G19" s="109"/>
      <c r="H19" s="110"/>
    </row>
    <row r="20" spans="1:8">
      <c r="A20" s="111"/>
      <c r="B20" s="112"/>
      <c r="C20" s="112"/>
      <c r="D20" s="112"/>
      <c r="E20" s="112"/>
      <c r="F20" s="112"/>
      <c r="G20" s="112"/>
      <c r="H20" s="113"/>
    </row>
    <row r="21" spans="1:8">
      <c r="A21" s="111" t="s">
        <v>59</v>
      </c>
      <c r="B21" s="112"/>
      <c r="C21" s="112"/>
      <c r="D21" s="112"/>
      <c r="E21" s="112"/>
      <c r="F21" s="112"/>
      <c r="G21" s="112"/>
      <c r="H21" s="15"/>
    </row>
    <row r="22" spans="1:8">
      <c r="A22" s="111" t="s">
        <v>128</v>
      </c>
      <c r="B22" s="112"/>
      <c r="C22" s="112"/>
      <c r="D22" s="112"/>
      <c r="E22" s="112"/>
      <c r="F22" s="112"/>
      <c r="G22" s="112"/>
      <c r="H22" s="15"/>
    </row>
    <row r="23" spans="1:8" ht="16.5" customHeight="1">
      <c r="A23" s="111"/>
      <c r="B23" s="112"/>
      <c r="C23" s="112"/>
      <c r="D23" s="112"/>
      <c r="E23" s="112"/>
      <c r="F23" s="112"/>
      <c r="G23" s="112"/>
      <c r="H23" s="15"/>
    </row>
    <row r="24" spans="1:8" ht="15.75" customHeight="1">
      <c r="A24" s="105" t="s">
        <v>60</v>
      </c>
      <c r="B24" s="106"/>
      <c r="C24" s="106"/>
      <c r="D24" s="106"/>
      <c r="E24" s="106"/>
      <c r="F24" s="106"/>
      <c r="G24" s="106"/>
      <c r="H24" s="107"/>
    </row>
    <row r="26" spans="1:8">
      <c r="A26" s="108" t="s">
        <v>66</v>
      </c>
      <c r="B26" s="109"/>
      <c r="C26" s="109"/>
      <c r="D26" s="109"/>
      <c r="E26" s="109"/>
      <c r="F26" s="109"/>
      <c r="G26" s="109"/>
      <c r="H26" s="110"/>
    </row>
    <row r="27" spans="1:8" ht="35.25" customHeight="1">
      <c r="A27" s="111"/>
      <c r="B27" s="112"/>
      <c r="C27" s="112"/>
      <c r="D27" s="112"/>
      <c r="E27" s="112"/>
      <c r="F27" s="112"/>
      <c r="G27" s="112"/>
      <c r="H27" s="113"/>
    </row>
    <row r="28" spans="1:8">
      <c r="A28" s="116" t="s">
        <v>65</v>
      </c>
      <c r="B28" s="117"/>
      <c r="C28" s="117"/>
      <c r="D28" s="117"/>
      <c r="E28" s="117"/>
      <c r="F28" s="117"/>
      <c r="G28" s="117"/>
      <c r="H28" s="15"/>
    </row>
    <row r="29" spans="1:8" ht="49.5" customHeight="1">
      <c r="A29" s="114" t="s">
        <v>67</v>
      </c>
      <c r="B29" s="115"/>
      <c r="C29" s="115"/>
      <c r="D29" s="115"/>
      <c r="E29" s="115"/>
      <c r="F29" s="115"/>
      <c r="G29" s="115"/>
      <c r="H29" s="17"/>
    </row>
    <row r="30" spans="1:8">
      <c r="A30" s="7"/>
      <c r="B30" s="7"/>
      <c r="C30" s="7"/>
      <c r="D30" s="7"/>
      <c r="E30" s="7"/>
      <c r="F30" s="7"/>
      <c r="G30" s="7"/>
    </row>
    <row r="31" spans="1:8" ht="15.75" customHeight="1">
      <c r="A31" s="12" t="s">
        <v>68</v>
      </c>
      <c r="B31" s="19"/>
      <c r="C31" s="19"/>
      <c r="D31" s="19"/>
      <c r="E31" s="19"/>
      <c r="F31" s="19"/>
      <c r="G31" s="19"/>
      <c r="H31" s="13"/>
    </row>
    <row r="32" spans="1:8">
      <c r="A32" s="14" t="s">
        <v>69</v>
      </c>
      <c r="H32" s="15"/>
    </row>
    <row r="33" spans="1:8">
      <c r="A33" s="14" t="s">
        <v>70</v>
      </c>
      <c r="H33" s="15"/>
    </row>
    <row r="34" spans="1:8">
      <c r="A34" s="14" t="s">
        <v>98</v>
      </c>
      <c r="H34" s="15"/>
    </row>
    <row r="35" spans="1:8">
      <c r="A35" s="14" t="s">
        <v>99</v>
      </c>
      <c r="H35" s="15"/>
    </row>
    <row r="36" spans="1:8">
      <c r="A36" s="16" t="s">
        <v>71</v>
      </c>
      <c r="B36" s="20"/>
      <c r="C36" s="20"/>
      <c r="D36" s="20"/>
      <c r="E36" s="20"/>
      <c r="F36" s="20"/>
      <c r="G36" s="20"/>
      <c r="H36" s="17"/>
    </row>
  </sheetData>
  <mergeCells count="16">
    <mergeCell ref="A24:H24"/>
    <mergeCell ref="A26:H27"/>
    <mergeCell ref="A29:G29"/>
    <mergeCell ref="A28:G28"/>
    <mergeCell ref="A2:H3"/>
    <mergeCell ref="A17:C17"/>
    <mergeCell ref="A19:H20"/>
    <mergeCell ref="A21:G21"/>
    <mergeCell ref="A22:G22"/>
    <mergeCell ref="A23:G23"/>
    <mergeCell ref="A5:H6"/>
    <mergeCell ref="A8:H10"/>
    <mergeCell ref="A12:H13"/>
    <mergeCell ref="A14:C14"/>
    <mergeCell ref="A15:C15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5BC9-704C-4CB5-A3A5-B2542CCA29FE}">
  <sheetPr>
    <tabColor theme="5" tint="-0.499984740745262"/>
  </sheetPr>
  <dimension ref="A1:E53"/>
  <sheetViews>
    <sheetView workbookViewId="0">
      <selection activeCell="A49" sqref="A49:B49"/>
    </sheetView>
  </sheetViews>
  <sheetFormatPr defaultColWidth="9" defaultRowHeight="15.75"/>
  <cols>
    <col min="1" max="1" width="43.875" style="6" bestFit="1" customWidth="1"/>
    <col min="2" max="2" width="18.625" style="6" bestFit="1" customWidth="1"/>
    <col min="3" max="3" width="28" style="6" bestFit="1" customWidth="1"/>
    <col min="4" max="4" width="40.5" style="6" bestFit="1" customWidth="1"/>
    <col min="5" max="5" width="33.625" style="6" customWidth="1"/>
    <col min="6" max="6" width="29.5" style="6" bestFit="1" customWidth="1"/>
    <col min="7" max="16384" width="9" style="6"/>
  </cols>
  <sheetData>
    <row r="1" spans="1:4" ht="18.75" thickBot="1">
      <c r="A1" s="134" t="s">
        <v>78</v>
      </c>
      <c r="B1" s="135"/>
      <c r="C1" s="136"/>
    </row>
    <row r="2" spans="1:4">
      <c r="A2" s="137" t="s">
        <v>137</v>
      </c>
      <c r="B2" s="138"/>
      <c r="C2" s="1">
        <f>4*12*258</f>
        <v>12384</v>
      </c>
      <c r="D2" s="43"/>
    </row>
    <row r="3" spans="1:4">
      <c r="A3" s="137" t="s">
        <v>76</v>
      </c>
      <c r="B3" s="138"/>
      <c r="C3" s="1">
        <f>Podkladove_materialy!B58/3</f>
        <v>30666.666666666668</v>
      </c>
    </row>
    <row r="4" spans="1:4">
      <c r="A4" s="137" t="s">
        <v>77</v>
      </c>
      <c r="B4" s="138"/>
      <c r="C4" s="1">
        <f>Podkladove_materialy!B59/3</f>
        <v>1500</v>
      </c>
    </row>
    <row r="5" spans="1:4">
      <c r="A5" s="137" t="s">
        <v>74</v>
      </c>
      <c r="B5" s="138"/>
      <c r="C5" s="1">
        <f>4*Podkladove_materialy!B63</f>
        <v>12000</v>
      </c>
    </row>
    <row r="6" spans="1:4">
      <c r="A6" s="137" t="s">
        <v>104</v>
      </c>
      <c r="B6" s="138"/>
      <c r="C6" s="1">
        <f>Podkladove_materialy!B67</f>
        <v>85000</v>
      </c>
    </row>
    <row r="7" spans="1:4" ht="16.5" thickBot="1">
      <c r="A7" s="137" t="s">
        <v>73</v>
      </c>
      <c r="B7" s="138"/>
      <c r="C7" s="1">
        <f>4*Podkladove_materialy!B71</f>
        <v>18000</v>
      </c>
    </row>
    <row r="8" spans="1:4" ht="16.5" thickBot="1">
      <c r="A8" s="139" t="s">
        <v>75</v>
      </c>
      <c r="B8" s="140"/>
      <c r="C8" s="35">
        <f>SUM(C2:C7)</f>
        <v>159550.66666666669</v>
      </c>
    </row>
    <row r="10" spans="1:4" ht="16.5" thickBot="1"/>
    <row r="11" spans="1:4" ht="18.75" thickBot="1">
      <c r="A11" s="134" t="s">
        <v>79</v>
      </c>
      <c r="B11" s="135"/>
      <c r="C11" s="136"/>
      <c r="D11" s="37" t="s">
        <v>85</v>
      </c>
    </row>
    <row r="12" spans="1:4">
      <c r="A12" s="137" t="s">
        <v>82</v>
      </c>
      <c r="B12" s="138"/>
      <c r="C12" s="36">
        <f>D12*(Podkladove_materialy!B52/1000)</f>
        <v>0.56700000000000006</v>
      </c>
      <c r="D12" s="38">
        <f>0.3*Podkladove_materialy!B29*1.05</f>
        <v>2.835</v>
      </c>
    </row>
    <row r="13" spans="1:4">
      <c r="A13" s="137" t="s">
        <v>81</v>
      </c>
      <c r="B13" s="138"/>
      <c r="C13" s="36">
        <f>D13*(Podkladove_materialy!B52/1000)</f>
        <v>1.3230000000000002</v>
      </c>
      <c r="D13" s="39">
        <f>0.7*Podkladove_materialy!B29*1.05</f>
        <v>6.6150000000000002</v>
      </c>
    </row>
    <row r="14" spans="1:4">
      <c r="A14" s="137" t="s">
        <v>80</v>
      </c>
      <c r="B14" s="138"/>
      <c r="C14" s="36">
        <f>D14*(Podkladove_materialy!B51/1000)</f>
        <v>5.4022500000000004</v>
      </c>
      <c r="D14" s="40">
        <f>Podkladove_materialy!B31*1.05</f>
        <v>220.5</v>
      </c>
    </row>
    <row r="15" spans="1:4">
      <c r="A15" s="137" t="s">
        <v>83</v>
      </c>
      <c r="B15" s="138"/>
      <c r="C15" s="36">
        <f>Podkladove_materialy!B54</f>
        <v>5</v>
      </c>
      <c r="D15" s="41">
        <v>1</v>
      </c>
    </row>
    <row r="16" spans="1:4" ht="16.5" thickBot="1">
      <c r="A16" s="137" t="s">
        <v>84</v>
      </c>
      <c r="B16" s="138"/>
      <c r="C16" s="36">
        <f>Podkladove_materialy!B55</f>
        <v>2</v>
      </c>
      <c r="D16" s="42">
        <v>1</v>
      </c>
    </row>
    <row r="17" spans="1:3" ht="16.5" thickBot="1">
      <c r="A17" s="139" t="s">
        <v>86</v>
      </c>
      <c r="B17" s="140"/>
      <c r="C17" s="35">
        <f>SUM(C12:C16)</f>
        <v>14.292250000000001</v>
      </c>
    </row>
    <row r="18" spans="1:3" ht="16.5" thickBot="1"/>
    <row r="19" spans="1:3" ht="18.75" thickBot="1">
      <c r="A19" s="134" t="s">
        <v>103</v>
      </c>
      <c r="B19" s="135"/>
      <c r="C19" s="136"/>
    </row>
    <row r="20" spans="1:3" ht="16.5" thickBot="1">
      <c r="A20" s="132" t="s">
        <v>87</v>
      </c>
      <c r="B20" s="133"/>
      <c r="C20" s="2">
        <f>55/1.15</f>
        <v>47.826086956521742</v>
      </c>
    </row>
    <row r="21" spans="1:3" ht="18.75" thickBot="1">
      <c r="A21" s="134" t="s">
        <v>88</v>
      </c>
      <c r="B21" s="135"/>
      <c r="C21" s="136"/>
    </row>
    <row r="22" spans="1:3" ht="16.5" thickBot="1">
      <c r="A22" s="132" t="s">
        <v>87</v>
      </c>
      <c r="B22" s="133"/>
      <c r="C22" s="2">
        <f>C20-C17</f>
        <v>33.533836956521739</v>
      </c>
    </row>
    <row r="23" spans="1:3" ht="16.5" thickBot="1"/>
    <row r="24" spans="1:3" ht="16.5" thickBot="1">
      <c r="A24" s="129" t="s">
        <v>89</v>
      </c>
      <c r="B24" s="130"/>
    </row>
    <row r="25" spans="1:3">
      <c r="A25" s="46" t="s">
        <v>91</v>
      </c>
      <c r="B25" s="48">
        <f>C8</f>
        <v>159550.66666666669</v>
      </c>
    </row>
    <row r="26" spans="1:3">
      <c r="A26" s="46" t="s">
        <v>90</v>
      </c>
      <c r="B26" s="48">
        <f>C22</f>
        <v>33.533836956521739</v>
      </c>
    </row>
    <row r="27" spans="1:3" ht="16.5" thickBot="1">
      <c r="A27" s="47" t="s">
        <v>136</v>
      </c>
      <c r="B27" s="49">
        <f>CEILING(B25/B26,1)</f>
        <v>4758</v>
      </c>
    </row>
    <row r="28" spans="1:3" ht="16.5" thickBot="1">
      <c r="A28" s="129" t="s">
        <v>92</v>
      </c>
      <c r="B28" s="130"/>
    </row>
    <row r="29" spans="1:3">
      <c r="A29" s="50" t="s">
        <v>130</v>
      </c>
      <c r="B29" s="51">
        <f>12*45000</f>
        <v>540000</v>
      </c>
    </row>
    <row r="30" spans="1:3">
      <c r="A30" s="52" t="s">
        <v>94</v>
      </c>
      <c r="B30" s="53">
        <f>C8</f>
        <v>159550.66666666669</v>
      </c>
    </row>
    <row r="31" spans="1:3">
      <c r="A31" s="54" t="s">
        <v>95</v>
      </c>
      <c r="B31" s="55">
        <f>B29+B30</f>
        <v>699550.66666666674</v>
      </c>
      <c r="C31" s="43"/>
    </row>
    <row r="32" spans="1:3" ht="16.5" thickBot="1">
      <c r="A32" s="47" t="s">
        <v>93</v>
      </c>
      <c r="B32" s="49">
        <f>CEILING(B31/C22,1)</f>
        <v>20862</v>
      </c>
      <c r="C32" s="43"/>
    </row>
    <row r="33" spans="1:5" ht="18.75" thickBot="1">
      <c r="A33" s="129" t="s">
        <v>96</v>
      </c>
      <c r="B33" s="130"/>
      <c r="C33" s="37" t="s">
        <v>101</v>
      </c>
      <c r="D33" s="57" t="s">
        <v>113</v>
      </c>
      <c r="E33" s="57" t="s">
        <v>114</v>
      </c>
    </row>
    <row r="34" spans="1:5" ht="16.5" thickBot="1">
      <c r="A34" s="46" t="s">
        <v>131</v>
      </c>
      <c r="B34" s="48">
        <f>C34*C20-C8</f>
        <v>17360101.507246375</v>
      </c>
      <c r="C34" s="41">
        <f>D34*B38</f>
        <v>366320</v>
      </c>
      <c r="D34" s="44">
        <f>FLOOR(E34*0.85*2+E34,1)</f>
        <v>1928</v>
      </c>
      <c r="E34" s="44">
        <f>4500*63.5%*25%</f>
        <v>714.375</v>
      </c>
    </row>
    <row r="35" spans="1:5">
      <c r="A35" s="46" t="s">
        <v>132</v>
      </c>
      <c r="B35" s="48">
        <f>C35*C20-C8</f>
        <v>2566536.2898550727</v>
      </c>
      <c r="C35" s="41">
        <f>Podkladove_materialy!B60*B38</f>
        <v>57000</v>
      </c>
    </row>
    <row r="36" spans="1:5" ht="16.5" thickBot="1">
      <c r="A36" s="46" t="s">
        <v>133</v>
      </c>
      <c r="B36" s="59">
        <f>C36*C20</f>
        <v>2544347.8260869565</v>
      </c>
      <c r="C36" s="42">
        <f>(((16-9)*3600)/Vypocty!B37)*B38</f>
        <v>53200</v>
      </c>
    </row>
    <row r="37" spans="1:5">
      <c r="A37" s="50" t="s">
        <v>97</v>
      </c>
      <c r="B37" s="58">
        <f>Podkladove_materialy!B36+Podkladove_materialy!B39+Podkladove_materialy!B40+(Podkladove_materialy!B30/Podkladove_materialy!B37)+(Podkladove_materialy!B31/10*Podkladove_materialy!B38)</f>
        <v>90</v>
      </c>
      <c r="C37" s="43"/>
    </row>
    <row r="38" spans="1:5" ht="16.5" thickBot="1">
      <c r="A38" s="47" t="s">
        <v>100</v>
      </c>
      <c r="B38" s="60">
        <v>190</v>
      </c>
    </row>
    <row r="39" spans="1:5" ht="18">
      <c r="A39" s="127" t="s">
        <v>107</v>
      </c>
      <c r="B39" s="128"/>
      <c r="C39" s="37" t="s">
        <v>135</v>
      </c>
    </row>
    <row r="40" spans="1:5">
      <c r="A40" s="46" t="s">
        <v>134</v>
      </c>
      <c r="B40" s="48">
        <f>B36</f>
        <v>2544347.8260869565</v>
      </c>
      <c r="C40" s="66">
        <f>B40</f>
        <v>2544347.8260869565</v>
      </c>
      <c r="D40" s="43"/>
    </row>
    <row r="41" spans="1:5">
      <c r="A41" s="46" t="s">
        <v>120</v>
      </c>
      <c r="B41" s="61">
        <f>1-C41/C40</f>
        <v>0</v>
      </c>
      <c r="C41" s="66">
        <f>C40</f>
        <v>2544347.8260869565</v>
      </c>
      <c r="D41" s="6" t="s">
        <v>140</v>
      </c>
    </row>
    <row r="42" spans="1:5">
      <c r="A42" s="46" t="s">
        <v>121</v>
      </c>
      <c r="B42" s="61">
        <f>1-C42/$C$40</f>
        <v>0</v>
      </c>
      <c r="C42" s="66">
        <f>C40</f>
        <v>2544347.8260869565</v>
      </c>
      <c r="D42" s="6" t="s">
        <v>141</v>
      </c>
    </row>
    <row r="43" spans="1:5">
      <c r="A43" s="46" t="s">
        <v>122</v>
      </c>
      <c r="B43" s="61">
        <f>1-C43/$C$40</f>
        <v>1.0000000000000009E-2</v>
      </c>
      <c r="C43" s="66">
        <f>C36*(C20*0.99)</f>
        <v>2518904.3478260869</v>
      </c>
      <c r="D43" s="6" t="s">
        <v>142</v>
      </c>
    </row>
    <row r="44" spans="1:5" ht="16.5" thickBot="1">
      <c r="A44" s="47" t="s">
        <v>123</v>
      </c>
      <c r="B44" s="62">
        <f>1-C44/$C$40</f>
        <v>0</v>
      </c>
      <c r="C44" s="70">
        <f>C40</f>
        <v>2544347.8260869565</v>
      </c>
      <c r="D44" s="6" t="s">
        <v>143</v>
      </c>
    </row>
    <row r="45" spans="1:5" ht="18">
      <c r="A45" s="127" t="s">
        <v>108</v>
      </c>
      <c r="B45" s="131"/>
      <c r="C45" s="72" t="s">
        <v>111</v>
      </c>
    </row>
    <row r="46" spans="1:5">
      <c r="A46" s="46" t="s">
        <v>110</v>
      </c>
      <c r="B46" s="68">
        <f>B40-B25-(C36*C17)-B29</f>
        <v>1084449.4594202898</v>
      </c>
      <c r="C46" s="73">
        <v>0</v>
      </c>
    </row>
    <row r="47" spans="1:5">
      <c r="A47" s="46" t="s">
        <v>138</v>
      </c>
      <c r="B47" s="68">
        <f>$C$36*$C$20*(1-C47)-$C$8-$C$17*C36*(1-C47)-B29</f>
        <v>816849.44050724618</v>
      </c>
      <c r="C47" s="74">
        <v>0.15</v>
      </c>
      <c r="D47" s="76" t="s">
        <v>139</v>
      </c>
    </row>
    <row r="48" spans="1:5" ht="16.5" thickBot="1">
      <c r="A48" s="47" t="s">
        <v>109</v>
      </c>
      <c r="B48" s="69">
        <f>$C$36*$C$20*(1-C48)-$C$8-$C$17*C36-B29</f>
        <v>660391.4884057967</v>
      </c>
      <c r="C48" s="75">
        <f>(100/6)/100</f>
        <v>0.16666666666666669</v>
      </c>
    </row>
    <row r="49" spans="1:5" ht="18">
      <c r="A49" s="127" t="s">
        <v>112</v>
      </c>
      <c r="B49" s="128"/>
      <c r="C49" s="71" t="s">
        <v>118</v>
      </c>
      <c r="D49" s="37" t="s">
        <v>127</v>
      </c>
      <c r="E49" s="64" t="s">
        <v>126</v>
      </c>
    </row>
    <row r="50" spans="1:5">
      <c r="A50" s="46" t="s">
        <v>116</v>
      </c>
      <c r="B50" s="65">
        <f>4500*0.65*0.1*B38</f>
        <v>55575</v>
      </c>
      <c r="C50" s="41">
        <f>C34+B50</f>
        <v>421895</v>
      </c>
      <c r="D50" s="67">
        <f>FLOOR(C50/C35,1)</f>
        <v>7</v>
      </c>
      <c r="E50" s="67">
        <f>FLOOR(C50/C36,1)</f>
        <v>7</v>
      </c>
    </row>
    <row r="51" spans="1:5">
      <c r="A51" s="46" t="s">
        <v>115</v>
      </c>
      <c r="B51" s="48">
        <v>10</v>
      </c>
      <c r="D51" s="41">
        <f>D50*C35</f>
        <v>399000</v>
      </c>
      <c r="E51" s="41">
        <f>E50*C36</f>
        <v>372400</v>
      </c>
    </row>
    <row r="52" spans="1:5" ht="16.5" thickBot="1">
      <c r="A52" s="47" t="s">
        <v>117</v>
      </c>
      <c r="B52" s="63">
        <f>C22-B51</f>
        <v>23.533836956521739</v>
      </c>
      <c r="E52" s="41">
        <f>E51-C34</f>
        <v>6080</v>
      </c>
    </row>
    <row r="53" spans="1:5" ht="16.5" thickBot="1">
      <c r="A53" s="22" t="s">
        <v>124</v>
      </c>
      <c r="B53" s="63">
        <f>B50*B52</f>
        <v>1307892.9888586956</v>
      </c>
      <c r="E53" s="66">
        <f>E52*B52</f>
        <v>143085.72869565219</v>
      </c>
    </row>
  </sheetData>
  <mergeCells count="25">
    <mergeCell ref="A16:B16"/>
    <mergeCell ref="A17:B17"/>
    <mergeCell ref="A11:C11"/>
    <mergeCell ref="A12:B12"/>
    <mergeCell ref="A13:B13"/>
    <mergeCell ref="A14:B14"/>
    <mergeCell ref="A15:B15"/>
    <mergeCell ref="A5:B5"/>
    <mergeCell ref="A6:B6"/>
    <mergeCell ref="A7:B7"/>
    <mergeCell ref="A8:B8"/>
    <mergeCell ref="A1:C1"/>
    <mergeCell ref="A2:B2"/>
    <mergeCell ref="A3:B3"/>
    <mergeCell ref="A4:B4"/>
    <mergeCell ref="A22:B22"/>
    <mergeCell ref="A24:B24"/>
    <mergeCell ref="A19:C19"/>
    <mergeCell ref="A20:B20"/>
    <mergeCell ref="A21:C21"/>
    <mergeCell ref="A49:B49"/>
    <mergeCell ref="A28:B28"/>
    <mergeCell ref="A33:B33"/>
    <mergeCell ref="A39:B39"/>
    <mergeCell ref="A45:B4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4AA-A4DD-446F-AFBA-F911B46ABE03}">
  <sheetPr>
    <tabColor rgb="FF7030A0"/>
  </sheetPr>
  <dimension ref="A1:T5"/>
  <sheetViews>
    <sheetView workbookViewId="0">
      <selection activeCell="B14" sqref="B14"/>
    </sheetView>
  </sheetViews>
  <sheetFormatPr defaultColWidth="9" defaultRowHeight="15.75"/>
  <cols>
    <col min="1" max="1" width="9" style="6"/>
    <col min="2" max="2" width="30.625" style="6" customWidth="1"/>
    <col min="3" max="3" width="35.875" style="6" customWidth="1"/>
    <col min="4" max="19" width="9" style="6"/>
    <col min="20" max="20" width="10" style="6" customWidth="1"/>
    <col min="21" max="16384" width="9" style="6"/>
  </cols>
  <sheetData>
    <row r="1" spans="1:20">
      <c r="A1" s="45" t="s">
        <v>89</v>
      </c>
      <c r="B1" s="6" t="s">
        <v>105</v>
      </c>
    </row>
    <row r="2" spans="1:20">
      <c r="A2" s="45" t="s">
        <v>92</v>
      </c>
      <c r="B2" s="6" t="s">
        <v>106</v>
      </c>
    </row>
    <row r="3" spans="1:20">
      <c r="A3" s="45" t="s">
        <v>96</v>
      </c>
      <c r="B3" s="6" t="s">
        <v>119</v>
      </c>
    </row>
    <row r="4" spans="1:20">
      <c r="A4" s="45" t="s">
        <v>108</v>
      </c>
      <c r="B4" s="6" t="s">
        <v>129</v>
      </c>
    </row>
    <row r="5" spans="1:20" ht="34.5" customHeight="1">
      <c r="A5" s="45" t="s">
        <v>112</v>
      </c>
      <c r="B5" s="141" t="s">
        <v>125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</sheetData>
  <mergeCells count="1">
    <mergeCell ref="B5:T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1D1E-966B-49DD-A477-BF7E90A9AA9D}">
  <sheetPr>
    <tabColor rgb="FF00B0F0"/>
  </sheetPr>
  <dimension ref="A1:L29"/>
  <sheetViews>
    <sheetView workbookViewId="0">
      <selection activeCell="F57" sqref="F57"/>
    </sheetView>
  </sheetViews>
  <sheetFormatPr defaultColWidth="9" defaultRowHeight="15.75"/>
  <cols>
    <col min="1" max="1" width="5.875" style="6" bestFit="1" customWidth="1"/>
    <col min="2" max="2" width="22.375" style="6" customWidth="1"/>
    <col min="3" max="3" width="16.125" style="6" bestFit="1" customWidth="1"/>
    <col min="4" max="4" width="14.625" style="6" bestFit="1" customWidth="1"/>
    <col min="5" max="5" width="6.5" style="6" bestFit="1" customWidth="1"/>
    <col min="6" max="6" width="17.375" style="6" bestFit="1" customWidth="1"/>
    <col min="7" max="9" width="16.125" style="6" bestFit="1" customWidth="1"/>
    <col min="10" max="12" width="17.375" style="6" bestFit="1" customWidth="1"/>
    <col min="13" max="16" width="14.625" style="6" bestFit="1" customWidth="1"/>
    <col min="17" max="16384" width="9" style="6"/>
  </cols>
  <sheetData>
    <row r="1" spans="1:12" ht="18.75" thickBot="1">
      <c r="A1" s="134" t="s">
        <v>54</v>
      </c>
      <c r="B1" s="135"/>
      <c r="C1" s="136"/>
      <c r="E1" s="23"/>
      <c r="F1" s="142" t="s">
        <v>47</v>
      </c>
      <c r="G1" s="142"/>
      <c r="H1" s="142"/>
      <c r="I1" s="142"/>
      <c r="J1" s="142"/>
      <c r="K1" s="142"/>
      <c r="L1" s="143"/>
    </row>
    <row r="2" spans="1:12" ht="18">
      <c r="A2" s="137" t="s">
        <v>53</v>
      </c>
      <c r="B2" s="138"/>
      <c r="C2" s="1">
        <f>Vypocty!C20</f>
        <v>47.826086956521742</v>
      </c>
      <c r="E2" s="24"/>
      <c r="F2" s="3">
        <v>0</v>
      </c>
      <c r="G2" s="4">
        <f>H2-1500</f>
        <v>1758</v>
      </c>
      <c r="H2" s="4">
        <f>I2-1500</f>
        <v>3258</v>
      </c>
      <c r="I2" s="4">
        <f>4758</f>
        <v>4758</v>
      </c>
      <c r="J2" s="4">
        <f>I2+1500</f>
        <v>6258</v>
      </c>
      <c r="K2" s="4">
        <f t="shared" ref="K2:L2" si="0">J2+1500</f>
        <v>7758</v>
      </c>
      <c r="L2" s="4">
        <f t="shared" si="0"/>
        <v>9258</v>
      </c>
    </row>
    <row r="3" spans="1:12" ht="18">
      <c r="A3" s="137" t="s">
        <v>55</v>
      </c>
      <c r="B3" s="138"/>
      <c r="C3" s="1">
        <f>Vypocty!C17</f>
        <v>14.292250000000001</v>
      </c>
      <c r="E3" s="25" t="s">
        <v>49</v>
      </c>
      <c r="F3" s="26">
        <f>$C$2*F2</f>
        <v>0</v>
      </c>
      <c r="G3" s="26">
        <f t="shared" ref="G3:L3" si="1">$C$2*G2</f>
        <v>84078.260869565216</v>
      </c>
      <c r="H3" s="26">
        <f t="shared" si="1"/>
        <v>155817.39130434784</v>
      </c>
      <c r="I3" s="26">
        <f t="shared" si="1"/>
        <v>227556.52173913046</v>
      </c>
      <c r="J3" s="26">
        <f t="shared" si="1"/>
        <v>299295.65217391308</v>
      </c>
      <c r="K3" s="26">
        <f t="shared" si="1"/>
        <v>371034.78260869568</v>
      </c>
      <c r="L3" s="27">
        <f t="shared" si="1"/>
        <v>442773.91304347827</v>
      </c>
    </row>
    <row r="4" spans="1:12" ht="18.75" thickBot="1">
      <c r="A4" s="132" t="s">
        <v>56</v>
      </c>
      <c r="B4" s="133"/>
      <c r="C4" s="2">
        <f>Vypocty!C8</f>
        <v>159550.66666666669</v>
      </c>
      <c r="E4" s="25" t="s">
        <v>0</v>
      </c>
      <c r="F4" s="26">
        <f>$C$4</f>
        <v>159550.66666666669</v>
      </c>
      <c r="G4" s="26">
        <f t="shared" ref="G4:L4" si="2">$C$4</f>
        <v>159550.66666666669</v>
      </c>
      <c r="H4" s="26">
        <f t="shared" si="2"/>
        <v>159550.66666666669</v>
      </c>
      <c r="I4" s="26">
        <f t="shared" si="2"/>
        <v>159550.66666666669</v>
      </c>
      <c r="J4" s="26">
        <f t="shared" si="2"/>
        <v>159550.66666666669</v>
      </c>
      <c r="K4" s="26">
        <f t="shared" si="2"/>
        <v>159550.66666666669</v>
      </c>
      <c r="L4" s="27">
        <f t="shared" si="2"/>
        <v>159550.66666666669</v>
      </c>
    </row>
    <row r="5" spans="1:12" ht="18">
      <c r="A5" s="149"/>
      <c r="B5" s="149"/>
      <c r="E5" s="25" t="s">
        <v>1</v>
      </c>
      <c r="F5" s="26">
        <f>$C$3*F2</f>
        <v>0</v>
      </c>
      <c r="G5" s="26">
        <f t="shared" ref="G5:L5" si="3">$C$3*G2</f>
        <v>25125.775500000003</v>
      </c>
      <c r="H5" s="26">
        <f t="shared" si="3"/>
        <v>46564.150500000003</v>
      </c>
      <c r="I5" s="26">
        <f t="shared" si="3"/>
        <v>68002.525500000003</v>
      </c>
      <c r="J5" s="26">
        <f t="shared" si="3"/>
        <v>89440.900500000003</v>
      </c>
      <c r="K5" s="26">
        <f t="shared" si="3"/>
        <v>110879.2755</v>
      </c>
      <c r="L5" s="27">
        <f t="shared" si="3"/>
        <v>132317.65050000002</v>
      </c>
    </row>
    <row r="6" spans="1:12" ht="18" customHeight="1">
      <c r="A6" s="144" t="s">
        <v>57</v>
      </c>
      <c r="B6" s="145"/>
      <c r="C6" s="146"/>
      <c r="E6" s="25" t="s">
        <v>50</v>
      </c>
      <c r="F6" s="26">
        <f>F4+F5</f>
        <v>159550.66666666669</v>
      </c>
      <c r="G6" s="26">
        <f t="shared" ref="G6:L6" si="4">G4+G5</f>
        <v>184676.44216666667</v>
      </c>
      <c r="H6" s="26">
        <f t="shared" si="4"/>
        <v>206114.81716666667</v>
      </c>
      <c r="I6" s="26">
        <f t="shared" si="4"/>
        <v>227553.19216666667</v>
      </c>
      <c r="J6" s="26">
        <f t="shared" si="4"/>
        <v>248991.56716666667</v>
      </c>
      <c r="K6" s="26">
        <f t="shared" si="4"/>
        <v>270429.94216666667</v>
      </c>
      <c r="L6" s="27">
        <f t="shared" si="4"/>
        <v>291868.31716666673</v>
      </c>
    </row>
    <row r="7" spans="1:12" ht="18.75" thickBot="1">
      <c r="A7" s="116"/>
      <c r="B7" s="117"/>
      <c r="C7" s="147"/>
      <c r="E7" s="28" t="s">
        <v>48</v>
      </c>
      <c r="F7" s="29">
        <f>F3-F6</f>
        <v>-159550.66666666669</v>
      </c>
      <c r="G7" s="29">
        <f t="shared" ref="G7:L7" si="5">G3-G6</f>
        <v>-100598.18129710146</v>
      </c>
      <c r="H7" s="29">
        <f t="shared" si="5"/>
        <v>-50297.425862318836</v>
      </c>
      <c r="I7" s="29">
        <f t="shared" si="5"/>
        <v>3.3295724637864623</v>
      </c>
      <c r="J7" s="29">
        <f t="shared" si="5"/>
        <v>50304.085007246409</v>
      </c>
      <c r="K7" s="29">
        <f t="shared" si="5"/>
        <v>100604.840442029</v>
      </c>
      <c r="L7" s="30">
        <f t="shared" si="5"/>
        <v>150905.59587681154</v>
      </c>
    </row>
    <row r="8" spans="1:12" ht="18">
      <c r="A8" s="114"/>
      <c r="B8" s="115"/>
      <c r="C8" s="148"/>
      <c r="E8" s="5"/>
      <c r="F8" s="5"/>
      <c r="G8" s="5"/>
      <c r="H8" s="5"/>
      <c r="I8" s="5"/>
      <c r="J8" s="5"/>
      <c r="K8" s="5"/>
      <c r="L8" s="5"/>
    </row>
    <row r="9" spans="1:12" ht="18">
      <c r="E9" s="5"/>
      <c r="F9" s="5"/>
      <c r="G9" s="5"/>
      <c r="H9" s="5"/>
      <c r="I9" s="5"/>
      <c r="J9" s="5"/>
      <c r="K9" s="5"/>
      <c r="L9" s="5"/>
    </row>
    <row r="10" spans="1:12" ht="18">
      <c r="E10" s="5"/>
      <c r="F10" s="5"/>
      <c r="G10" s="5"/>
      <c r="H10" s="5"/>
      <c r="I10" s="5"/>
      <c r="J10" s="5"/>
      <c r="K10" s="5"/>
      <c r="L10" s="5"/>
    </row>
    <row r="11" spans="1:12" ht="18">
      <c r="E11" s="5"/>
      <c r="F11" s="5"/>
      <c r="G11" s="5"/>
      <c r="H11" s="5"/>
      <c r="I11" s="5"/>
      <c r="J11" s="5"/>
      <c r="K11" s="5"/>
      <c r="L11" s="5"/>
    </row>
    <row r="12" spans="1:12" ht="18">
      <c r="E12" s="5"/>
      <c r="F12" s="5"/>
      <c r="G12" s="5"/>
      <c r="H12" s="5"/>
      <c r="I12" s="5"/>
      <c r="J12" s="5"/>
      <c r="K12" s="5"/>
      <c r="L12" s="5"/>
    </row>
    <row r="13" spans="1:12" ht="18">
      <c r="E13" s="5"/>
      <c r="F13" s="5"/>
      <c r="G13" s="5"/>
      <c r="H13" s="5"/>
      <c r="I13" s="5"/>
      <c r="J13" s="5"/>
      <c r="K13" s="5"/>
      <c r="L13" s="5"/>
    </row>
    <row r="14" spans="1:12" ht="18">
      <c r="E14" s="5"/>
      <c r="F14" s="5"/>
      <c r="G14" s="5"/>
      <c r="H14" s="5"/>
      <c r="I14" s="5"/>
      <c r="J14" s="5"/>
      <c r="K14" s="5"/>
      <c r="L14" s="5"/>
    </row>
    <row r="15" spans="1:12" ht="18">
      <c r="E15" s="5"/>
      <c r="F15" s="5"/>
      <c r="G15" s="5"/>
      <c r="H15" s="5"/>
      <c r="I15" s="5"/>
      <c r="J15" s="5"/>
      <c r="K15" s="5"/>
      <c r="L15" s="5"/>
    </row>
    <row r="16" spans="1:12" ht="18">
      <c r="E16" s="5"/>
      <c r="F16" s="5"/>
      <c r="G16" s="5"/>
      <c r="H16" s="5"/>
      <c r="I16" s="5"/>
      <c r="J16" s="5"/>
      <c r="K16" s="5"/>
      <c r="L16" s="5"/>
    </row>
    <row r="17" spans="1:12" ht="18">
      <c r="E17" s="5"/>
      <c r="F17" s="5"/>
      <c r="G17" s="5"/>
      <c r="H17" s="5"/>
      <c r="I17" s="5"/>
      <c r="J17" s="5"/>
      <c r="K17" s="5"/>
      <c r="L17" s="5"/>
    </row>
    <row r="18" spans="1:12" ht="18">
      <c r="E18" s="5"/>
      <c r="F18" s="5"/>
      <c r="G18" s="5"/>
      <c r="H18" s="5"/>
      <c r="I18" s="5"/>
      <c r="J18" s="5"/>
      <c r="K18" s="5"/>
      <c r="L18" s="5"/>
    </row>
    <row r="19" spans="1:12" ht="18">
      <c r="E19" s="5"/>
      <c r="F19" s="5"/>
      <c r="G19" s="5"/>
      <c r="H19" s="5"/>
      <c r="I19" s="5"/>
      <c r="J19" s="5"/>
      <c r="K19" s="5"/>
      <c r="L19" s="5"/>
    </row>
    <row r="20" spans="1:12" ht="18">
      <c r="E20" s="5"/>
      <c r="F20" s="5"/>
      <c r="G20" s="5"/>
      <c r="H20" s="5"/>
      <c r="I20" s="5"/>
      <c r="J20" s="5"/>
      <c r="K20" s="5"/>
      <c r="L20" s="5"/>
    </row>
    <row r="21" spans="1:12" ht="18">
      <c r="E21" s="5"/>
      <c r="F21" s="5"/>
      <c r="G21" s="5"/>
      <c r="H21" s="5"/>
      <c r="I21" s="5"/>
      <c r="J21" s="5"/>
      <c r="K21" s="5"/>
      <c r="L21" s="5"/>
    </row>
    <row r="22" spans="1:12" ht="18">
      <c r="E22" s="5"/>
      <c r="F22" s="5"/>
      <c r="G22" s="5"/>
      <c r="H22" s="5"/>
      <c r="I22" s="5"/>
      <c r="J22" s="5"/>
      <c r="K22" s="5"/>
      <c r="L22" s="5"/>
    </row>
    <row r="23" spans="1:12" ht="18">
      <c r="E23" s="5"/>
      <c r="F23" s="5"/>
      <c r="G23" s="5"/>
      <c r="H23" s="5"/>
      <c r="I23" s="5"/>
      <c r="J23" s="5"/>
      <c r="K23" s="5"/>
      <c r="L23" s="5"/>
    </row>
    <row r="24" spans="1:12" ht="18">
      <c r="E24" s="5"/>
      <c r="F24" s="5"/>
      <c r="G24" s="5"/>
      <c r="H24" s="5"/>
      <c r="I24" s="5"/>
      <c r="J24" s="5"/>
      <c r="K24" s="5"/>
      <c r="L24" s="5"/>
    </row>
    <row r="25" spans="1:12" ht="18">
      <c r="E25" s="5"/>
      <c r="F25" s="5"/>
      <c r="G25" s="5"/>
      <c r="H25" s="5"/>
      <c r="I25" s="5"/>
      <c r="J25" s="5"/>
      <c r="K25" s="5"/>
      <c r="L25" s="5"/>
    </row>
    <row r="26" spans="1:12" ht="18">
      <c r="E26" s="5"/>
      <c r="F26" s="5"/>
      <c r="G26" s="5"/>
      <c r="H26" s="5"/>
      <c r="I26" s="5"/>
      <c r="J26" s="5"/>
      <c r="K26" s="5"/>
      <c r="L26" s="5"/>
    </row>
    <row r="27" spans="1:12" ht="18">
      <c r="E27" s="5"/>
      <c r="F27" s="5"/>
      <c r="G27" s="5"/>
      <c r="H27" s="5"/>
      <c r="I27" s="5"/>
      <c r="J27" s="5"/>
      <c r="K27" s="5"/>
      <c r="L27" s="5"/>
    </row>
    <row r="28" spans="1:12" ht="18">
      <c r="E28" s="5"/>
      <c r="F28" s="5"/>
      <c r="G28" s="5"/>
      <c r="H28" s="5"/>
      <c r="I28" s="5"/>
      <c r="J28" s="5"/>
      <c r="K28" s="5"/>
      <c r="L28" s="5"/>
    </row>
    <row r="29" spans="1:12" ht="18">
      <c r="A29" s="5"/>
      <c r="B29" s="5"/>
      <c r="C29" s="5"/>
      <c r="D29" s="5"/>
      <c r="E29" s="5"/>
      <c r="F29" s="5"/>
      <c r="G29" s="5"/>
      <c r="H29" s="5"/>
    </row>
  </sheetData>
  <mergeCells count="7">
    <mergeCell ref="A2:B2"/>
    <mergeCell ref="F1:L1"/>
    <mergeCell ref="A6:C8"/>
    <mergeCell ref="A1:C1"/>
    <mergeCell ref="A5:B5"/>
    <mergeCell ref="A4:B4"/>
    <mergeCell ref="A3:B3"/>
  </mergeCells>
  <conditionalFormatting sqref="F7:L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Podkladove_materialy</vt:lpstr>
      <vt:lpstr>Otazky</vt:lpstr>
      <vt:lpstr>Vypocty</vt:lpstr>
      <vt:lpstr>Odpovědi</vt:lpstr>
      <vt:lpstr>Pomucka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Brabenec</dc:creator>
  <cp:lastModifiedBy>Strobach, Jiří</cp:lastModifiedBy>
  <cp:lastPrinted>2020-03-24T08:41:08Z</cp:lastPrinted>
  <dcterms:created xsi:type="dcterms:W3CDTF">2019-03-20T08:42:21Z</dcterms:created>
  <dcterms:modified xsi:type="dcterms:W3CDTF">2024-08-22T09:23:52Z</dcterms:modified>
</cp:coreProperties>
</file>