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50" tabRatio="598" activeTab="0"/>
  </bookViews>
  <sheets>
    <sheet name="Úvod" sheetId="1" r:id="rId1"/>
    <sheet name="Aktiva" sheetId="2" r:id="rId2"/>
    <sheet name="Pasiva" sheetId="3" r:id="rId3"/>
    <sheet name="Výsledovka" sheetId="4" r:id="rId4"/>
    <sheet name="Cash flow" sheetId="5" r:id="rId5"/>
    <sheet name="Informace" sheetId="6" r:id="rId6"/>
    <sheet name="Výsledky" sheetId="7" r:id="rId7"/>
  </sheets>
  <definedNames>
    <definedName name="rok">'Úvod'!$C$35</definedName>
  </definedNames>
  <calcPr fullCalcOnLoad="1"/>
</workbook>
</file>

<file path=xl/sharedStrings.xml><?xml version="1.0" encoding="utf-8"?>
<sst xmlns="http://schemas.openxmlformats.org/spreadsheetml/2006/main" count="143" uniqueCount="128">
  <si>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</si>
  <si>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</si>
  <si>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Finanční investice</t>
  </si>
  <si>
    <t>Krátkod. fin. majetek</t>
  </si>
  <si>
    <t>Dluhopisy</t>
  </si>
  <si>
    <t>Bankovní úvěr</t>
  </si>
  <si>
    <t>AKTIVA</t>
  </si>
  <si>
    <t>AKTIVA CELKEM</t>
  </si>
  <si>
    <t>B. DLOUH. MAJETEK</t>
  </si>
  <si>
    <t>B.II Dlouh. hmotný majetek</t>
  </si>
  <si>
    <t xml:space="preserve">     1. Pozemky</t>
  </si>
  <si>
    <t xml:space="preserve">     2. Stavby</t>
  </si>
  <si>
    <t xml:space="preserve">     3. Samostatné movité věci </t>
  </si>
  <si>
    <t>B.III Dlouh. finanční majetek</t>
  </si>
  <si>
    <t xml:space="preserve">     3. Ostatní dl. cenné papíry</t>
  </si>
  <si>
    <t>C. OBĚŽNÁ AKTIVA</t>
  </si>
  <si>
    <t>C.I   Zásoby</t>
  </si>
  <si>
    <t xml:space="preserve">     1. Materiál</t>
  </si>
  <si>
    <t xml:space="preserve">     2. Nedokončená výroba</t>
  </si>
  <si>
    <t xml:space="preserve">     3. Výrobky</t>
  </si>
  <si>
    <t>C.III Krátkodobé pohledávky</t>
  </si>
  <si>
    <t xml:space="preserve">     1. Pohledávky z ob. vztahů</t>
  </si>
  <si>
    <t xml:space="preserve">         Ostatní krát. pohledávky</t>
  </si>
  <si>
    <t>C.IV Krátk. finanční majetek</t>
  </si>
  <si>
    <t xml:space="preserve">     1,2. Peníze a úč. v bankách</t>
  </si>
  <si>
    <t xml:space="preserve">     3. Krátk. cenné papíry </t>
  </si>
  <si>
    <t>D. ČASOVÉ ROZLIŠENÍ</t>
  </si>
  <si>
    <t>D.I.1. Náklady příštích období</t>
  </si>
  <si>
    <t>—–—–—–—–—–—–—–—–—–—–</t>
  </si>
  <si>
    <t>PASIVA</t>
  </si>
  <si>
    <t>PASIVA CELKEM</t>
  </si>
  <si>
    <t>A. VLASTNÍ KAPITÁL</t>
  </si>
  <si>
    <t>A.I      Základní kapitál</t>
  </si>
  <si>
    <t xml:space="preserve">A.II     Kapitálové fondy </t>
  </si>
  <si>
    <t>A.III.1 Zákonný rez. fond</t>
  </si>
  <si>
    <t>A.IV.   VH minulých let</t>
  </si>
  <si>
    <t>A.V.    VH běž. úč. období</t>
  </si>
  <si>
    <t>B. CIZÍ ZDROJE</t>
  </si>
  <si>
    <t>B.I   Rezervy (dlouhodobé)</t>
  </si>
  <si>
    <t>B.II.6 Vydané dluhopisy</t>
  </si>
  <si>
    <t>B.III Krátkodobé závazky</t>
  </si>
  <si>
    <t xml:space="preserve">       1. Z obchodních vztahů</t>
  </si>
  <si>
    <t xml:space="preserve">       5. K zaměstnancům</t>
  </si>
  <si>
    <t>B.IV.1 Bank. úvěry dlouhod.</t>
  </si>
  <si>
    <t>C. ČASOVÉ ROZLIŠENÍ</t>
  </si>
  <si>
    <t>C.I.1 Výdaje příštích období</t>
  </si>
  <si>
    <t>VÝSLEDOVKA (tis. Kč)</t>
  </si>
  <si>
    <t>Daň ze zisku:</t>
  </si>
  <si>
    <t>POLOŽKA</t>
  </si>
  <si>
    <t xml:space="preserve">Provozní výnosy </t>
  </si>
  <si>
    <t>Náklady výroby - mzdové</t>
  </si>
  <si>
    <t xml:space="preserve">                          - ostatní</t>
  </si>
  <si>
    <t>Odbytové náklady</t>
  </si>
  <si>
    <t>Správní náklady</t>
  </si>
  <si>
    <t>Odpisy</t>
  </si>
  <si>
    <t>Provozní VH</t>
  </si>
  <si>
    <t>Výnosy z finančního majetku</t>
  </si>
  <si>
    <t>Nákladové úroky</t>
  </si>
  <si>
    <t>Finanční VH</t>
  </si>
  <si>
    <t>VH za běž. čin. před daní</t>
  </si>
  <si>
    <t>Daňový základ</t>
  </si>
  <si>
    <t xml:space="preserve">Daň </t>
  </si>
  <si>
    <t>VH za účetní období</t>
  </si>
  <si>
    <t>Dividendy (návrh)</t>
  </si>
  <si>
    <t>Příděl do neroz. zisku</t>
  </si>
  <si>
    <t>PENĚŽNÍ TOKY (tis. Kč)</t>
  </si>
  <si>
    <t>Výsledek hospodaření za úč. období</t>
  </si>
  <si>
    <t>Změna rezerv</t>
  </si>
  <si>
    <t>Změna nákladů příštích období</t>
  </si>
  <si>
    <t>Změna výdajů příštích období</t>
  </si>
  <si>
    <t xml:space="preserve">Změna pohledávek             </t>
  </si>
  <si>
    <t xml:space="preserve">Změna krátkodobých závazků </t>
  </si>
  <si>
    <t xml:space="preserve">Změna zásob                      </t>
  </si>
  <si>
    <t>Změna krátk. cenných papírů</t>
  </si>
  <si>
    <t>Cash flow provozní</t>
  </si>
  <si>
    <t>Hrubé investice do dlouh.hm.maj.</t>
  </si>
  <si>
    <t>Změna finančního dlouh. majetku</t>
  </si>
  <si>
    <t>Cash flow investiční</t>
  </si>
  <si>
    <t>Změna dlouhod.bankovních úvěrů</t>
  </si>
  <si>
    <t>Změna dluhopisů</t>
  </si>
  <si>
    <t>Změna vlast. kapitálu (vnější)</t>
  </si>
  <si>
    <t>Výplata dividend (z VH min.roku)</t>
  </si>
  <si>
    <t>Cash flow finanční</t>
  </si>
  <si>
    <t>CASH FLOW CELKOVÉ</t>
  </si>
  <si>
    <t>Provozně nenutný majetek:</t>
  </si>
  <si>
    <t xml:space="preserve"> b) Dlouhodobý finanční majetek</t>
  </si>
  <si>
    <t xml:space="preserve"> c) Krátkodobé cenné papíry</t>
  </si>
  <si>
    <t>INFORMACE PRO OCENĚNÍ</t>
  </si>
  <si>
    <t>a) Rozdělení majetku na nutný a nenutný</t>
  </si>
  <si>
    <t>b) Další informace</t>
  </si>
  <si>
    <t>Diskontní míra</t>
  </si>
  <si>
    <t>Tempo růstu v 2. fázi</t>
  </si>
  <si>
    <t>Míra investic v 2. fázi</t>
  </si>
  <si>
    <t>Finanční výkazy (rozvaha, výsledovka, výkaz CF) za tři minulé roky</t>
  </si>
  <si>
    <t>Finanční výkazy (rozvaha, výsledovka, výkaz CF) prognózované na čtyři budoucí roky</t>
  </si>
  <si>
    <t>(prognóza nekonční v extrémním bodě hospodářského cyklu)</t>
  </si>
  <si>
    <t>Informace o provozně nutném a nenutném majetku</t>
  </si>
  <si>
    <t>Informace o stanovené diskontní míře</t>
  </si>
  <si>
    <t>Informace o stanovených parametrech pro druhou fázi</t>
  </si>
  <si>
    <t>à</t>
  </si>
  <si>
    <t>Úkol:</t>
  </si>
  <si>
    <t>Příklad k procvičení</t>
  </si>
  <si>
    <t xml:space="preserve"> a) Pozemky nad 10 mil. Kč</t>
  </si>
  <si>
    <t xml:space="preserve"> c) Peníze (pokladna + účty) nad 3 mil. Kč</t>
  </si>
  <si>
    <t>Předpokládáme, že tržní hodnota neprovozních pozemků a cenných papírů by odpovídala jejich účetní hodnotě.</t>
  </si>
  <si>
    <t>List Výsledky obsahuje hlavní výsledky, podle kterých zkontrolujete správnost svých výpočtů.</t>
  </si>
  <si>
    <t>Položka</t>
  </si>
  <si>
    <t>Provozně nutný investovaný kapitál celkem</t>
  </si>
  <si>
    <t>Volné cash flow (FCF)</t>
  </si>
  <si>
    <t>Výsledná hodnota netto</t>
  </si>
  <si>
    <t xml:space="preserve">Pokračující hodnota </t>
  </si>
  <si>
    <t>KONTROLNÍ VÝSLEDKY (tis. Kč)</t>
  </si>
  <si>
    <t>Nákladové rezervy není nutné považovat za reálný závazek vůči externím subjektům.</t>
  </si>
  <si>
    <t>Jsou k dispozici tyto podklady:</t>
  </si>
  <si>
    <t>1. Ocenit podnik metodou DCF s využitím parametrického vzorce</t>
  </si>
  <si>
    <r>
      <t xml:space="preserve">2. Vypočítat normalizované FCF pro první rok druhé fáze, </t>
    </r>
    <r>
      <rPr>
        <sz val="12"/>
        <rFont val="Times New Roman CE"/>
        <family val="0"/>
      </rPr>
      <t>které by odpovídalo</t>
    </r>
  </si>
  <si>
    <t xml:space="preserve">    parametrům pro parametrický vzorec, a při kterém by parametrický i Gordonův</t>
  </si>
  <si>
    <t xml:space="preserve">    vzorec poskytovaly stejnou výši pokračující hodnoty</t>
  </si>
  <si>
    <r>
      <t xml:space="preserve">2. Ocenit podnik metodou DCF s využitím Gordonova vzorce </t>
    </r>
    <r>
      <rPr>
        <sz val="12"/>
        <rFont val="Times New Roman CE"/>
        <family val="0"/>
      </rPr>
      <t>při mechanickém</t>
    </r>
  </si>
  <si>
    <t xml:space="preserve">    dopočtu FCF pro první rok druhé fáze (poslední rok plánu obsahuje stabilizovanou</t>
  </si>
  <si>
    <t xml:space="preserve">    ziskovou marži, ale investice v tomto roce ještě stabilizované nejsou)</t>
  </si>
  <si>
    <t>1. Parametrický model</t>
  </si>
  <si>
    <t>2. Gordonův vzorec - mechanický dopočet FCF</t>
  </si>
  <si>
    <t>3. Gordonův vzorec - normalizované FCF</t>
  </si>
  <si>
    <t>Normalizované FCF pro 1. rok 2. fáze</t>
  </si>
  <si>
    <t>OCENĚNÍ PODNIKU CCC METODOU DCF</t>
  </si>
  <si>
    <t>ROZVAHA PODNIKU CCC  A.S. (tis. Kč) - údaje k 31. 12.</t>
  </si>
  <si>
    <t>ROZVAHA  PODNIKU CCC (tis. Kč) - údaje k 31. 12.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</si>
</sst>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  <numFmt numFmtId="165" formatCode="0.00_)"/>
    <numFmt numFmtId="166" formatCode="0.0%"/>
    <numFmt numFmtId="167" formatCode="#,##0_)"/>
    <numFmt numFmtId="168" formatCode="#,##0_);\(#,##0\)"/>
    <numFmt numFmtId="169" formatCode="0.0000_)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8"/>
      <color indexed="10"/>
      <name val="Times New Roman CE"/>
      <family val="1"/>
    </font>
    <font>
      <sz val="12"/>
      <name val="Times New Roman CE"/>
      <family val="1"/>
    </font>
    <font>
      <b/>
      <i/>
      <u val="single"/>
      <sz val="12"/>
      <color indexed="16"/>
      <name val="Times New Roman CE"/>
      <family val="1"/>
    </font>
    <font>
      <sz val="12"/>
      <color indexed="12"/>
      <name val="Times New Roman CE"/>
      <family val="1"/>
    </font>
    <font>
      <b/>
      <sz val="12"/>
      <name val="Times New Roman CE"/>
      <family val="0"/>
    </font>
    <font>
      <b/>
      <sz val="12"/>
      <color indexed="12"/>
      <name val="Times New Roman CE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sz val="12"/>
      <color indexed="16"/>
      <name val="Times New Roman CE"/>
      <family val="1"/>
    </font>
    <font>
      <b/>
      <sz val="12"/>
      <color indexed="17"/>
      <name val="Times New Roman CE"/>
      <family val="1"/>
    </font>
    <font>
      <b/>
      <sz val="12"/>
      <color indexed="10"/>
      <name val="Times New Roman CE"/>
      <family val="1"/>
    </font>
    <font>
      <b/>
      <u val="single"/>
      <sz val="12"/>
      <color indexed="18"/>
      <name val="Times New Roman CE"/>
      <family val="1"/>
    </font>
    <font>
      <b/>
      <sz val="11"/>
      <color indexed="18"/>
      <name val="Times New Roman CE"/>
      <family val="1"/>
    </font>
    <font>
      <sz val="12"/>
      <color indexed="18"/>
      <name val="Times New Roman CE"/>
      <family val="1"/>
    </font>
    <font>
      <sz val="11"/>
      <color indexed="18"/>
      <name val="Times New Roman CE"/>
      <family val="1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18"/>
      <name val="Times New Roman CE"/>
      <family val="1"/>
    </font>
    <font>
      <b/>
      <sz val="14"/>
      <color indexed="45"/>
      <name val="Wingdings"/>
      <family val="0"/>
    </font>
    <font>
      <b/>
      <u val="single"/>
      <sz val="12"/>
      <color indexed="16"/>
      <name val="Times New Roman CE"/>
      <family val="1"/>
    </font>
    <font>
      <sz val="11"/>
      <name val="Times New Roman CE"/>
      <family val="1"/>
    </font>
    <font>
      <sz val="10"/>
      <name val="Wingdings"/>
      <family val="0"/>
    </font>
    <font>
      <i/>
      <sz val="12"/>
      <name val="Times New Roman CE"/>
      <family val="0"/>
    </font>
    <font>
      <sz val="10"/>
      <color indexed="9"/>
      <name val="Arial CE"/>
      <family val="0"/>
    </font>
    <font>
      <sz val="12"/>
      <color indexed="9"/>
      <name val="Times New Roman CE"/>
      <family val="1"/>
    </font>
    <font>
      <b/>
      <i/>
      <u val="single"/>
      <sz val="18"/>
      <color indexed="56"/>
      <name val="Times New Roman CE"/>
      <family val="1"/>
    </font>
    <font>
      <b/>
      <u val="single"/>
      <sz val="12"/>
      <color indexed="12"/>
      <name val="Times New Roman CE"/>
      <family val="1"/>
    </font>
    <font>
      <b/>
      <sz val="10"/>
      <color indexed="1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9" fontId="5" fillId="0" borderId="0" xfId="19" applyFont="1" applyAlignment="1">
      <alignment/>
    </xf>
    <xf numFmtId="0" fontId="1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3" fontId="16" fillId="0" borderId="5" xfId="0" applyNumberFormat="1" applyFont="1" applyFill="1" applyBorder="1" applyAlignment="1" applyProtection="1">
      <alignment/>
      <protection/>
    </xf>
    <xf numFmtId="3" fontId="16" fillId="0" borderId="6" xfId="0" applyNumberFormat="1" applyFont="1" applyFill="1" applyBorder="1" applyAlignment="1" applyProtection="1">
      <alignment/>
      <protection/>
    </xf>
    <xf numFmtId="0" fontId="17" fillId="0" borderId="4" xfId="0" applyFont="1" applyFill="1" applyBorder="1" applyAlignment="1" applyProtection="1">
      <alignment/>
      <protection/>
    </xf>
    <xf numFmtId="3" fontId="18" fillId="0" borderId="5" xfId="0" applyNumberFormat="1" applyFont="1" applyFill="1" applyBorder="1" applyAlignment="1" applyProtection="1">
      <alignment/>
      <protection/>
    </xf>
    <xf numFmtId="3" fontId="18" fillId="0" borderId="6" xfId="0" applyNumberFormat="1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>
      <alignment/>
      <protection/>
    </xf>
    <xf numFmtId="3" fontId="20" fillId="0" borderId="6" xfId="0" applyNumberFormat="1" applyFont="1" applyFill="1" applyBorder="1" applyAlignment="1" applyProtection="1">
      <alignment/>
      <protection/>
    </xf>
    <xf numFmtId="0" fontId="19" fillId="0" borderId="7" xfId="0" applyFont="1" applyFill="1" applyBorder="1" applyAlignment="1" applyProtection="1">
      <alignment/>
      <protection/>
    </xf>
    <xf numFmtId="3" fontId="20" fillId="0" borderId="8" xfId="0" applyNumberFormat="1" applyFont="1" applyFill="1" applyBorder="1" applyAlignment="1" applyProtection="1">
      <alignment/>
      <protection/>
    </xf>
    <xf numFmtId="3" fontId="20" fillId="0" borderId="9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3" fontId="16" fillId="0" borderId="11" xfId="0" applyNumberFormat="1" applyFont="1" applyFill="1" applyBorder="1" applyAlignment="1" applyProtection="1">
      <alignment/>
      <protection/>
    </xf>
    <xf numFmtId="3" fontId="16" fillId="0" borderId="12" xfId="0" applyNumberFormat="1" applyFont="1" applyFill="1" applyBorder="1" applyAlignment="1" applyProtection="1">
      <alignment/>
      <protection/>
    </xf>
    <xf numFmtId="0" fontId="19" fillId="0" borderId="13" xfId="0" applyFont="1" applyFill="1" applyBorder="1" applyAlignment="1" applyProtection="1">
      <alignment/>
      <protection/>
    </xf>
    <xf numFmtId="3" fontId="20" fillId="0" borderId="14" xfId="0" applyNumberFormat="1" applyFont="1" applyFill="1" applyBorder="1" applyAlignment="1" applyProtection="1">
      <alignment/>
      <protection/>
    </xf>
    <xf numFmtId="3" fontId="20" fillId="0" borderId="15" xfId="0" applyNumberFormat="1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3" fontId="16" fillId="0" borderId="2" xfId="0" applyNumberFormat="1" applyFont="1" applyFill="1" applyBorder="1" applyAlignment="1" applyProtection="1">
      <alignment/>
      <protection/>
    </xf>
    <xf numFmtId="3" fontId="16" fillId="0" borderId="3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Continuous"/>
    </xf>
    <xf numFmtId="0" fontId="17" fillId="0" borderId="7" xfId="0" applyFont="1" applyFill="1" applyBorder="1" applyAlignment="1" applyProtection="1">
      <alignment/>
      <protection/>
    </xf>
    <xf numFmtId="3" fontId="18" fillId="0" borderId="8" xfId="0" applyNumberFormat="1" applyFont="1" applyFill="1" applyBorder="1" applyAlignment="1" applyProtection="1">
      <alignment/>
      <protection/>
    </xf>
    <xf numFmtId="3" fontId="18" fillId="0" borderId="9" xfId="0" applyNumberFormat="1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/>
      <protection/>
    </xf>
    <xf numFmtId="3" fontId="18" fillId="0" borderId="14" xfId="0" applyNumberFormat="1" applyFont="1" applyFill="1" applyBorder="1" applyAlignment="1" applyProtection="1">
      <alignment/>
      <protection/>
    </xf>
    <xf numFmtId="3" fontId="18" fillId="0" borderId="15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9" fontId="8" fillId="0" borderId="0" xfId="19" applyFont="1" applyAlignment="1">
      <alignment/>
    </xf>
    <xf numFmtId="0" fontId="21" fillId="0" borderId="7" xfId="0" applyFont="1" applyFill="1" applyBorder="1" applyAlignment="1" applyProtection="1">
      <alignment/>
      <protection/>
    </xf>
    <xf numFmtId="3" fontId="16" fillId="0" borderId="8" xfId="0" applyNumberFormat="1" applyFont="1" applyFill="1" applyBorder="1" applyAlignment="1" applyProtection="1">
      <alignment/>
      <protection/>
    </xf>
    <xf numFmtId="3" fontId="16" fillId="0" borderId="9" xfId="0" applyNumberFormat="1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3" fontId="16" fillId="0" borderId="14" xfId="0" applyNumberFormat="1" applyFont="1" applyFill="1" applyBorder="1" applyAlignment="1" applyProtection="1">
      <alignment/>
      <protection/>
    </xf>
    <xf numFmtId="3" fontId="16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/>
      <protection/>
    </xf>
    <xf numFmtId="0" fontId="19" fillId="0" borderId="17" xfId="0" applyFont="1" applyFill="1" applyBorder="1" applyAlignment="1">
      <alignment/>
    </xf>
    <xf numFmtId="3" fontId="20" fillId="0" borderId="16" xfId="0" applyNumberFormat="1" applyFont="1" applyFill="1" applyBorder="1" applyAlignment="1" applyProtection="1">
      <alignment/>
      <protection/>
    </xf>
    <xf numFmtId="3" fontId="20" fillId="0" borderId="18" xfId="0" applyNumberFormat="1" applyFont="1" applyFill="1" applyBorder="1" applyAlignment="1" applyProtection="1">
      <alignment/>
      <protection/>
    </xf>
    <xf numFmtId="3" fontId="20" fillId="0" borderId="19" xfId="0" applyNumberFormat="1" applyFont="1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" fontId="20" fillId="0" borderId="20" xfId="0" applyNumberFormat="1" applyFont="1" applyFill="1" applyBorder="1" applyAlignment="1" applyProtection="1">
      <alignment/>
      <protection/>
    </xf>
    <xf numFmtId="3" fontId="20" fillId="0" borderId="21" xfId="0" applyNumberFormat="1" applyFont="1" applyFill="1" applyBorder="1" applyAlignment="1" applyProtection="1">
      <alignment/>
      <protection/>
    </xf>
    <xf numFmtId="3" fontId="20" fillId="0" borderId="22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0" fontId="19" fillId="0" borderId="0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165" fontId="21" fillId="0" borderId="24" xfId="0" applyNumberFormat="1" applyFont="1" applyFill="1" applyBorder="1" applyAlignment="1" applyProtection="1">
      <alignment/>
      <protection/>
    </xf>
    <xf numFmtId="3" fontId="16" fillId="0" borderId="23" xfId="0" applyNumberFormat="1" applyFont="1" applyFill="1" applyBorder="1" applyAlignment="1" applyProtection="1">
      <alignment/>
      <protection/>
    </xf>
    <xf numFmtId="3" fontId="16" fillId="0" borderId="25" xfId="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3" fontId="16" fillId="0" borderId="20" xfId="0" applyNumberFormat="1" applyFont="1" applyFill="1" applyBorder="1" applyAlignment="1" applyProtection="1">
      <alignment/>
      <protection/>
    </xf>
    <xf numFmtId="3" fontId="16" fillId="0" borderId="21" xfId="0" applyNumberFormat="1" applyFont="1" applyFill="1" applyBorder="1" applyAlignment="1" applyProtection="1">
      <alignment/>
      <protection/>
    </xf>
    <xf numFmtId="3" fontId="16" fillId="0" borderId="22" xfId="0" applyNumberFormat="1" applyFont="1" applyFill="1" applyBorder="1" applyAlignment="1" applyProtection="1">
      <alignment/>
      <protection/>
    </xf>
    <xf numFmtId="0" fontId="21" fillId="0" borderId="24" xfId="0" applyFont="1" applyFill="1" applyBorder="1" applyAlignment="1">
      <alignment/>
    </xf>
    <xf numFmtId="166" fontId="21" fillId="0" borderId="24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3" fillId="0" borderId="27" xfId="0" applyFont="1" applyFill="1" applyBorder="1" applyAlignment="1" applyProtection="1">
      <alignment/>
      <protection/>
    </xf>
    <xf numFmtId="3" fontId="20" fillId="0" borderId="14" xfId="0" applyNumberFormat="1" applyFont="1" applyFill="1" applyBorder="1" applyAlignment="1" applyProtection="1">
      <alignment/>
      <protection/>
    </xf>
    <xf numFmtId="3" fontId="20" fillId="0" borderId="15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 applyProtection="1">
      <alignment vertical="top"/>
      <protection/>
    </xf>
    <xf numFmtId="9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27" xfId="0" applyFont="1" applyFill="1" applyBorder="1" applyAlignment="1" applyProtection="1">
      <alignment/>
      <protection/>
    </xf>
    <xf numFmtId="166" fontId="5" fillId="0" borderId="27" xfId="0" applyNumberFormat="1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166" fontId="5" fillId="0" borderId="30" xfId="0" applyNumberFormat="1" applyFont="1" applyFill="1" applyBorder="1" applyAlignment="1" applyProtection="1">
      <alignment/>
      <protection/>
    </xf>
    <xf numFmtId="166" fontId="5" fillId="0" borderId="31" xfId="19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25" fillId="0" borderId="0" xfId="0" applyFont="1" applyAlignment="1">
      <alignment horizontal="right"/>
    </xf>
    <xf numFmtId="0" fontId="26" fillId="0" borderId="0" xfId="0" applyFont="1" applyAlignment="1" applyProtection="1">
      <alignment horizontal="left"/>
      <protection/>
    </xf>
    <xf numFmtId="0" fontId="27" fillId="0" borderId="0" xfId="0" applyFont="1" applyAlignment="1">
      <alignment/>
    </xf>
    <xf numFmtId="164" fontId="28" fillId="0" borderId="0" xfId="0" applyNumberFormat="1" applyFont="1" applyAlignment="1" applyProtection="1">
      <alignment/>
      <protection/>
    </xf>
    <xf numFmtId="0" fontId="29" fillId="0" borderId="0" xfId="0" applyFont="1" applyFill="1" applyAlignment="1" applyProtection="1">
      <alignment horizontal="centerContinuous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31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168" fontId="5" fillId="0" borderId="32" xfId="0" applyNumberFormat="1" applyFont="1" applyFill="1" applyBorder="1" applyAlignment="1" applyProtection="1">
      <alignment/>
      <protection/>
    </xf>
    <xf numFmtId="167" fontId="5" fillId="0" borderId="31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167" fontId="5" fillId="0" borderId="27" xfId="0" applyNumberFormat="1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7.625" style="0" customWidth="1"/>
    <col min="3" max="7" width="10.25390625" style="0" customWidth="1"/>
    <col min="8" max="8" width="5.125" style="0" customWidth="1"/>
    <col min="9" max="12" width="10.25390625" style="0" customWidth="1"/>
  </cols>
  <sheetData>
    <row r="1" spans="1:10" ht="23.25">
      <c r="A1" s="1" t="s">
        <v>125</v>
      </c>
      <c r="B1" s="2"/>
      <c r="C1" s="2"/>
      <c r="D1" s="3"/>
      <c r="E1" s="3"/>
      <c r="F1" s="3"/>
      <c r="G1" s="3"/>
      <c r="H1" s="3"/>
      <c r="I1" s="3"/>
      <c r="J1" s="4"/>
    </row>
    <row r="2" spans="1:10" ht="23.25">
      <c r="A2" s="107" t="s">
        <v>101</v>
      </c>
      <c r="B2" s="2"/>
      <c r="C2" s="2"/>
      <c r="D2" s="3"/>
      <c r="E2" s="3"/>
      <c r="F2" s="3"/>
      <c r="G2" s="3"/>
      <c r="H2" s="3"/>
      <c r="I2" s="3"/>
      <c r="J2" s="4"/>
    </row>
    <row r="3" spans="1:10" ht="15.75" customHeight="1">
      <c r="A3" s="1"/>
      <c r="B3" s="2"/>
      <c r="C3" s="2"/>
      <c r="D3" s="5"/>
      <c r="E3" s="3"/>
      <c r="F3" s="6"/>
      <c r="G3" s="6"/>
      <c r="H3" s="6"/>
      <c r="I3" s="6"/>
      <c r="J3" s="7"/>
    </row>
    <row r="4" spans="2:10" ht="15.75">
      <c r="B4" s="122" t="s">
        <v>113</v>
      </c>
      <c r="C4" s="4"/>
      <c r="D4" s="4"/>
      <c r="E4" s="4"/>
      <c r="F4" s="4"/>
      <c r="G4" s="4"/>
      <c r="H4" s="4"/>
      <c r="I4" s="4"/>
      <c r="J4" s="4"/>
    </row>
    <row r="5" spans="2:10" ht="12" customHeight="1">
      <c r="B5" s="8"/>
      <c r="C5" s="4"/>
      <c r="D5" s="4"/>
      <c r="E5" s="4"/>
      <c r="F5" s="4"/>
      <c r="G5" s="4"/>
      <c r="H5" s="4"/>
      <c r="I5" s="4"/>
      <c r="J5" s="4"/>
    </row>
    <row r="6" spans="2:10" ht="15.75">
      <c r="B6" s="103" t="s">
        <v>99</v>
      </c>
      <c r="C6" s="8" t="s">
        <v>93</v>
      </c>
      <c r="D6" s="4"/>
      <c r="E6" s="4"/>
      <c r="F6" s="4"/>
      <c r="G6" s="4"/>
      <c r="H6" s="4"/>
      <c r="I6" s="4"/>
      <c r="J6" s="4"/>
    </row>
    <row r="7" spans="2:10" ht="15.75">
      <c r="B7" s="103" t="s">
        <v>99</v>
      </c>
      <c r="C7" s="4" t="s">
        <v>94</v>
      </c>
      <c r="D7" s="4"/>
      <c r="E7" s="4"/>
      <c r="F7" s="4"/>
      <c r="G7" s="4"/>
      <c r="H7" s="4"/>
      <c r="I7" s="4"/>
      <c r="J7" s="4"/>
    </row>
    <row r="8" spans="2:10" ht="15.75">
      <c r="B8" s="103"/>
      <c r="C8" s="104" t="s">
        <v>95</v>
      </c>
      <c r="D8" s="4"/>
      <c r="E8" s="4"/>
      <c r="F8" s="4"/>
      <c r="G8" s="4"/>
      <c r="H8" s="4"/>
      <c r="I8" s="4"/>
      <c r="J8" s="4"/>
    </row>
    <row r="9" spans="2:10" ht="15.75">
      <c r="B9" s="103" t="s">
        <v>99</v>
      </c>
      <c r="C9" s="8" t="s">
        <v>96</v>
      </c>
      <c r="D9" s="4"/>
      <c r="E9" s="4"/>
      <c r="F9" s="4"/>
      <c r="G9" s="4"/>
      <c r="H9" s="4"/>
      <c r="I9" s="4"/>
      <c r="J9" s="4"/>
    </row>
    <row r="10" spans="2:10" ht="15.75">
      <c r="B10" s="103" t="s">
        <v>99</v>
      </c>
      <c r="C10" s="4" t="s">
        <v>97</v>
      </c>
      <c r="D10" s="4"/>
      <c r="E10" s="4"/>
      <c r="F10" s="4"/>
      <c r="G10" s="4"/>
      <c r="H10" s="4"/>
      <c r="I10" s="4"/>
      <c r="J10" s="4"/>
    </row>
    <row r="11" spans="2:10" ht="15.75">
      <c r="B11" s="103" t="s">
        <v>99</v>
      </c>
      <c r="C11" s="102" t="s">
        <v>98</v>
      </c>
      <c r="D11" s="4"/>
      <c r="E11" s="4"/>
      <c r="F11" s="4"/>
      <c r="G11" s="4"/>
      <c r="H11" s="4"/>
      <c r="I11" s="4"/>
      <c r="J11" s="4"/>
    </row>
    <row r="12" spans="2:10" ht="15.75">
      <c r="B12" s="9"/>
      <c r="C12" s="4"/>
      <c r="D12" s="4"/>
      <c r="E12" s="4"/>
      <c r="F12" s="4"/>
      <c r="G12" s="4"/>
      <c r="H12" s="4"/>
      <c r="I12" s="4"/>
      <c r="J12" s="4"/>
    </row>
    <row r="13" spans="2:10" ht="15.75">
      <c r="B13" s="122" t="s">
        <v>100</v>
      </c>
      <c r="C13" s="9" t="s">
        <v>114</v>
      </c>
      <c r="D13" s="4"/>
      <c r="E13" s="4"/>
      <c r="F13" s="4"/>
      <c r="G13" s="4"/>
      <c r="H13" s="4"/>
      <c r="I13" s="4"/>
      <c r="J13" s="4"/>
    </row>
    <row r="14" spans="2:10" ht="15.75">
      <c r="B14" s="122"/>
      <c r="C14" s="9" t="s">
        <v>118</v>
      </c>
      <c r="D14" s="4"/>
      <c r="E14" s="4"/>
      <c r="F14" s="4"/>
      <c r="G14" s="4"/>
      <c r="H14" s="4"/>
      <c r="I14" s="4"/>
      <c r="J14" s="4"/>
    </row>
    <row r="15" spans="2:10" ht="15.75">
      <c r="B15" s="122"/>
      <c r="C15" s="102" t="s">
        <v>119</v>
      </c>
      <c r="D15" s="4"/>
      <c r="E15" s="4"/>
      <c r="F15" s="4"/>
      <c r="G15" s="4"/>
      <c r="H15" s="4"/>
      <c r="I15" s="4"/>
      <c r="J15" s="4"/>
    </row>
    <row r="16" spans="2:10" ht="15.75">
      <c r="B16" s="122"/>
      <c r="C16" s="102" t="s">
        <v>120</v>
      </c>
      <c r="D16" s="4"/>
      <c r="E16" s="4"/>
      <c r="F16" s="4"/>
      <c r="G16" s="4"/>
      <c r="H16" s="4"/>
      <c r="I16" s="4"/>
      <c r="J16" s="4"/>
    </row>
    <row r="17" spans="2:10" ht="15.75">
      <c r="B17" s="122"/>
      <c r="C17" s="9" t="s">
        <v>115</v>
      </c>
      <c r="D17" s="4"/>
      <c r="E17" s="4"/>
      <c r="F17" s="4"/>
      <c r="G17" s="4"/>
      <c r="H17" s="4"/>
      <c r="I17" s="4"/>
      <c r="J17" s="4"/>
    </row>
    <row r="18" spans="2:10" ht="15.75">
      <c r="B18" s="122"/>
      <c r="C18" s="102" t="s">
        <v>116</v>
      </c>
      <c r="D18" s="4"/>
      <c r="E18" s="4"/>
      <c r="F18" s="4"/>
      <c r="G18" s="4"/>
      <c r="H18" s="4"/>
      <c r="I18" s="4"/>
      <c r="J18" s="4"/>
    </row>
    <row r="19" spans="2:10" ht="15.75">
      <c r="B19" s="122"/>
      <c r="C19" s="102" t="s">
        <v>117</v>
      </c>
      <c r="D19" s="4"/>
      <c r="E19" s="4"/>
      <c r="F19" s="4"/>
      <c r="G19" s="4"/>
      <c r="H19" s="4"/>
      <c r="I19" s="4"/>
      <c r="J19" s="4"/>
    </row>
    <row r="20" spans="3:10" ht="15.75">
      <c r="C20" s="10" t="str">
        <f>"Ocenění bude provedeno k 1.1. "&amp;FIXED(YEAR(rok),0,TRUE)</f>
        <v>Ocenění bude provedeno k 1.1. 2008</v>
      </c>
      <c r="D20" s="4"/>
      <c r="E20" s="4"/>
      <c r="F20" s="4"/>
      <c r="G20" s="4"/>
      <c r="H20" s="4"/>
      <c r="I20" s="4"/>
      <c r="J20" s="4"/>
    </row>
    <row r="21" spans="3:10" ht="15.75">
      <c r="C21" s="10"/>
      <c r="D21" s="4"/>
      <c r="E21" s="4"/>
      <c r="F21" s="4"/>
      <c r="G21" s="4"/>
      <c r="H21" s="4"/>
      <c r="I21" s="4"/>
      <c r="J21" s="4"/>
    </row>
    <row r="22" spans="2:10" ht="15.75">
      <c r="B22" s="123" t="s">
        <v>105</v>
      </c>
      <c r="C22" s="10"/>
      <c r="D22" s="4"/>
      <c r="E22" s="4"/>
      <c r="F22" s="4"/>
      <c r="G22" s="4"/>
      <c r="H22" s="4"/>
      <c r="I22" s="4"/>
      <c r="J22" s="4"/>
    </row>
    <row r="24" ht="23.25">
      <c r="B24" s="11" t="s">
        <v>0</v>
      </c>
    </row>
    <row r="35" spans="2:3" ht="15.75">
      <c r="B35" s="105" t="s">
        <v>1</v>
      </c>
      <c r="C35" s="106">
        <v>39448</v>
      </c>
    </row>
    <row r="48" spans="2:4" ht="15.75">
      <c r="B48" s="4" t="s">
        <v>2</v>
      </c>
      <c r="C48" s="4"/>
      <c r="D48" s="12">
        <v>0.03</v>
      </c>
    </row>
    <row r="49" spans="2:4" ht="15.75">
      <c r="B49" s="4" t="s">
        <v>3</v>
      </c>
      <c r="C49" s="4"/>
      <c r="D49" s="12">
        <v>0.02</v>
      </c>
    </row>
    <row r="50" spans="2:4" ht="15.75">
      <c r="B50" s="4" t="s">
        <v>4</v>
      </c>
      <c r="C50" s="4"/>
      <c r="D50" s="12">
        <v>0.05</v>
      </c>
    </row>
    <row r="51" spans="2:4" ht="15.75">
      <c r="B51" s="4" t="s">
        <v>5</v>
      </c>
      <c r="C51" s="4"/>
      <c r="D51" s="12">
        <v>0.06</v>
      </c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75390625" style="0" customWidth="1"/>
    <col min="2" max="8" width="8.125" style="0" customWidth="1"/>
    <col min="9" max="10" width="10.25390625" style="0" customWidth="1"/>
  </cols>
  <sheetData>
    <row r="1" spans="1:8" ht="15.75">
      <c r="A1" s="13" t="s">
        <v>126</v>
      </c>
      <c r="B1" s="4"/>
      <c r="C1" s="4"/>
      <c r="D1" s="4"/>
      <c r="E1" s="4"/>
      <c r="F1" s="4"/>
      <c r="G1" s="4"/>
      <c r="H1" s="4"/>
    </row>
    <row r="2" spans="1:8" ht="16.5" thickBot="1">
      <c r="A2" s="14"/>
      <c r="B2" s="4"/>
      <c r="C2" s="4"/>
      <c r="D2" s="4"/>
      <c r="E2" s="4"/>
      <c r="F2" s="4"/>
      <c r="G2" s="4"/>
      <c r="H2" s="4"/>
    </row>
    <row r="3" spans="1:8" ht="16.5" thickBot="1">
      <c r="A3" s="15" t="s">
        <v>6</v>
      </c>
      <c r="B3" s="16">
        <f>YEAR(rok)-3</f>
        <v>2005</v>
      </c>
      <c r="C3" s="16">
        <f aca="true" t="shared" si="0" ref="C3:H3">B3+1</f>
        <v>2006</v>
      </c>
      <c r="D3" s="17">
        <f t="shared" si="0"/>
        <v>2007</v>
      </c>
      <c r="E3" s="18">
        <f t="shared" si="0"/>
        <v>2008</v>
      </c>
      <c r="F3" s="18">
        <f t="shared" si="0"/>
        <v>2009</v>
      </c>
      <c r="G3" s="18">
        <f t="shared" si="0"/>
        <v>2010</v>
      </c>
      <c r="H3" s="19">
        <f t="shared" si="0"/>
        <v>2011</v>
      </c>
    </row>
    <row r="4" spans="1:8" ht="16.5" thickBot="1">
      <c r="A4" s="38" t="s">
        <v>7</v>
      </c>
      <c r="B4" s="39">
        <f aca="true" t="shared" si="1" ref="B4:H4">(B12+B5+B23)</f>
        <v>100962.5588</v>
      </c>
      <c r="C4" s="39">
        <f t="shared" si="1"/>
        <v>122029.47</v>
      </c>
      <c r="D4" s="40">
        <f t="shared" si="1"/>
        <v>129167.8308</v>
      </c>
      <c r="E4" s="39">
        <f t="shared" si="1"/>
        <v>139654.39465084934</v>
      </c>
      <c r="F4" s="39">
        <f t="shared" si="1"/>
        <v>136263.71542466077</v>
      </c>
      <c r="G4" s="39">
        <f t="shared" si="1"/>
        <v>195867.17587541958</v>
      </c>
      <c r="H4" s="40">
        <f t="shared" si="1"/>
        <v>212428.38455641683</v>
      </c>
    </row>
    <row r="5" spans="1:8" ht="15.75">
      <c r="A5" s="20" t="s">
        <v>8</v>
      </c>
      <c r="B5" s="21">
        <f aca="true" t="shared" si="2" ref="B5:H5">B6+B10</f>
        <v>59894</v>
      </c>
      <c r="C5" s="21">
        <f t="shared" si="2"/>
        <v>64836</v>
      </c>
      <c r="D5" s="22">
        <f t="shared" si="2"/>
        <v>59836</v>
      </c>
      <c r="E5" s="21">
        <f t="shared" si="2"/>
        <v>54836</v>
      </c>
      <c r="F5" s="21">
        <f t="shared" si="2"/>
        <v>45500</v>
      </c>
      <c r="G5" s="21">
        <f t="shared" si="2"/>
        <v>84250</v>
      </c>
      <c r="H5" s="22">
        <f t="shared" si="2"/>
        <v>90125</v>
      </c>
    </row>
    <row r="6" spans="1:8" ht="15.75">
      <c r="A6" s="23" t="s">
        <v>9</v>
      </c>
      <c r="B6" s="24">
        <f aca="true" t="shared" si="3" ref="B6:H6">SUM(B7:B9)</f>
        <v>54394</v>
      </c>
      <c r="C6" s="24">
        <f t="shared" si="3"/>
        <v>59336</v>
      </c>
      <c r="D6" s="25">
        <f t="shared" si="3"/>
        <v>54336</v>
      </c>
      <c r="E6" s="24">
        <f t="shared" si="3"/>
        <v>49336</v>
      </c>
      <c r="F6" s="24">
        <f t="shared" si="3"/>
        <v>40000</v>
      </c>
      <c r="G6" s="24">
        <f t="shared" si="3"/>
        <v>78750</v>
      </c>
      <c r="H6" s="25">
        <f t="shared" si="3"/>
        <v>84625</v>
      </c>
    </row>
    <row r="7" spans="1:8" ht="15.75">
      <c r="A7" s="26" t="s">
        <v>10</v>
      </c>
      <c r="B7" s="27">
        <f>3716+678</f>
        <v>4394</v>
      </c>
      <c r="C7" s="27">
        <f>3887+10449</f>
        <v>14336</v>
      </c>
      <c r="D7" s="28">
        <f>C7</f>
        <v>14336</v>
      </c>
      <c r="E7" s="27">
        <f>D7</f>
        <v>14336</v>
      </c>
      <c r="F7" s="27">
        <v>10000</v>
      </c>
      <c r="G7" s="27">
        <f>F7</f>
        <v>10000</v>
      </c>
      <c r="H7" s="28">
        <f>G7</f>
        <v>10000</v>
      </c>
    </row>
    <row r="8" spans="1:8" ht="15.75">
      <c r="A8" s="26" t="s">
        <v>11</v>
      </c>
      <c r="B8" s="27">
        <v>30000</v>
      </c>
      <c r="C8" s="27">
        <f aca="true" t="shared" si="4" ref="C8:H8">B8-1000</f>
        <v>29000</v>
      </c>
      <c r="D8" s="28">
        <f t="shared" si="4"/>
        <v>28000</v>
      </c>
      <c r="E8" s="27">
        <f t="shared" si="4"/>
        <v>27000</v>
      </c>
      <c r="F8" s="27">
        <f t="shared" si="4"/>
        <v>26000</v>
      </c>
      <c r="G8" s="27">
        <f t="shared" si="4"/>
        <v>25000</v>
      </c>
      <c r="H8" s="28">
        <f t="shared" si="4"/>
        <v>24000</v>
      </c>
    </row>
    <row r="9" spans="1:10" ht="15.75">
      <c r="A9" s="29" t="s">
        <v>12</v>
      </c>
      <c r="B9" s="30">
        <v>20000</v>
      </c>
      <c r="C9" s="30">
        <f>B9-4000</f>
        <v>16000</v>
      </c>
      <c r="D9" s="31">
        <f>C9-4000</f>
        <v>12000</v>
      </c>
      <c r="E9" s="30">
        <f>D9-4000</f>
        <v>8000</v>
      </c>
      <c r="F9" s="30">
        <f>E9-4000</f>
        <v>4000</v>
      </c>
      <c r="G9" s="30">
        <f>50000*7/8</f>
        <v>43750</v>
      </c>
      <c r="H9" s="31">
        <f>G9-50000/8+15000*7/8</f>
        <v>50625</v>
      </c>
      <c r="J9" s="111"/>
    </row>
    <row r="10" spans="1:8" ht="15.75">
      <c r="A10" s="23" t="s">
        <v>13</v>
      </c>
      <c r="B10" s="24">
        <f aca="true" t="shared" si="5" ref="B10:H10">B11</f>
        <v>5500</v>
      </c>
      <c r="C10" s="24">
        <f t="shared" si="5"/>
        <v>5500</v>
      </c>
      <c r="D10" s="25">
        <f t="shared" si="5"/>
        <v>5500</v>
      </c>
      <c r="E10" s="24">
        <f t="shared" si="5"/>
        <v>5500</v>
      </c>
      <c r="F10" s="24">
        <f t="shared" si="5"/>
        <v>5500</v>
      </c>
      <c r="G10" s="24">
        <f t="shared" si="5"/>
        <v>5500</v>
      </c>
      <c r="H10" s="25">
        <f t="shared" si="5"/>
        <v>5500</v>
      </c>
    </row>
    <row r="11" spans="1:8" ht="16.5" thickBot="1">
      <c r="A11" s="26" t="s">
        <v>14</v>
      </c>
      <c r="B11" s="27">
        <v>5500</v>
      </c>
      <c r="C11" s="27">
        <v>5500</v>
      </c>
      <c r="D11" s="28">
        <v>5500</v>
      </c>
      <c r="E11" s="27">
        <f>D11</f>
        <v>5500</v>
      </c>
      <c r="F11" s="27">
        <f>E11</f>
        <v>5500</v>
      </c>
      <c r="G11" s="27">
        <f>F11</f>
        <v>5500</v>
      </c>
      <c r="H11" s="28">
        <f>G11</f>
        <v>5500</v>
      </c>
    </row>
    <row r="12" spans="1:8" ht="15.75">
      <c r="A12" s="32" t="s">
        <v>15</v>
      </c>
      <c r="B12" s="33">
        <f aca="true" t="shared" si="6" ref="B12:H12">B13+B17+B20</f>
        <v>40068.5588</v>
      </c>
      <c r="C12" s="33">
        <f t="shared" si="6"/>
        <v>56693.47</v>
      </c>
      <c r="D12" s="34">
        <f t="shared" si="6"/>
        <v>69331.8308</v>
      </c>
      <c r="E12" s="33">
        <f t="shared" si="6"/>
        <v>84818.39465084932</v>
      </c>
      <c r="F12" s="33">
        <f t="shared" si="6"/>
        <v>90763.71542466077</v>
      </c>
      <c r="G12" s="33">
        <f t="shared" si="6"/>
        <v>111617.17587541958</v>
      </c>
      <c r="H12" s="34">
        <f t="shared" si="6"/>
        <v>122303.38455641682</v>
      </c>
    </row>
    <row r="13" spans="1:8" ht="15.75">
      <c r="A13" s="23" t="s">
        <v>16</v>
      </c>
      <c r="B13" s="24">
        <f aca="true" t="shared" si="7" ref="B13:H13">SUM(B14:B16)</f>
        <v>12392</v>
      </c>
      <c r="C13" s="24">
        <f t="shared" si="7"/>
        <v>21733</v>
      </c>
      <c r="D13" s="25">
        <f t="shared" si="7"/>
        <v>24829</v>
      </c>
      <c r="E13" s="24">
        <f t="shared" si="7"/>
        <v>25357.189707616446</v>
      </c>
      <c r="F13" s="24">
        <f t="shared" si="7"/>
        <v>27301.67886654246</v>
      </c>
      <c r="G13" s="24">
        <f t="shared" si="7"/>
        <v>29116.35320660438</v>
      </c>
      <c r="H13" s="25">
        <f t="shared" si="7"/>
        <v>31034.33068360275</v>
      </c>
    </row>
    <row r="14" spans="1:8" ht="15.75">
      <c r="A14" s="26" t="s">
        <v>17</v>
      </c>
      <c r="B14" s="27">
        <v>4956.8</v>
      </c>
      <c r="C14" s="27">
        <v>8893.2</v>
      </c>
      <c r="D14" s="28">
        <v>10011.6</v>
      </c>
      <c r="E14" s="27">
        <v>9459.676989369866</v>
      </c>
      <c r="F14" s="27">
        <v>9828.604391955287</v>
      </c>
      <c r="G14" s="27">
        <v>10251.234380809365</v>
      </c>
      <c r="H14" s="28">
        <v>10794.549802992262</v>
      </c>
    </row>
    <row r="15" spans="1:8" ht="15.75">
      <c r="A15" s="26" t="s">
        <v>18</v>
      </c>
      <c r="B15" s="27">
        <v>6196</v>
      </c>
      <c r="C15" s="27">
        <v>10866.5</v>
      </c>
      <c r="D15" s="28">
        <v>12464.5</v>
      </c>
      <c r="E15" s="27">
        <v>13138.440263013703</v>
      </c>
      <c r="F15" s="27">
        <v>14333.381404934793</v>
      </c>
      <c r="G15" s="27">
        <v>15376.851571214049</v>
      </c>
      <c r="H15" s="28">
        <v>16491.673310127066</v>
      </c>
    </row>
    <row r="16" spans="1:8" ht="15.75">
      <c r="A16" s="29" t="s">
        <v>19</v>
      </c>
      <c r="B16" s="30">
        <v>1239.2</v>
      </c>
      <c r="C16" s="30">
        <v>1973.3</v>
      </c>
      <c r="D16" s="31">
        <v>2352.9</v>
      </c>
      <c r="E16" s="30">
        <v>2759.0724552328775</v>
      </c>
      <c r="F16" s="30">
        <v>3139.693069652383</v>
      </c>
      <c r="G16" s="30">
        <v>3488.267254580964</v>
      </c>
      <c r="H16" s="31">
        <v>3748.1075704834248</v>
      </c>
    </row>
    <row r="17" spans="1:8" ht="15.75">
      <c r="A17" s="23" t="s">
        <v>20</v>
      </c>
      <c r="B17" s="24">
        <f aca="true" t="shared" si="8" ref="B17:H17">B18+B19</f>
        <v>21362</v>
      </c>
      <c r="C17" s="24">
        <f t="shared" si="8"/>
        <v>26462</v>
      </c>
      <c r="D17" s="25">
        <f t="shared" si="8"/>
        <v>32569</v>
      </c>
      <c r="E17" s="24">
        <f t="shared" si="8"/>
        <v>33043.17726147945</v>
      </c>
      <c r="F17" s="24">
        <f t="shared" si="8"/>
        <v>34331.86117467714</v>
      </c>
      <c r="G17" s="24">
        <f t="shared" si="8"/>
        <v>35808.13120518826</v>
      </c>
      <c r="H17" s="25">
        <f t="shared" si="8"/>
        <v>37705.962159063245</v>
      </c>
    </row>
    <row r="18" spans="1:8" ht="15.75">
      <c r="A18" s="26" t="s">
        <v>21</v>
      </c>
      <c r="B18" s="27">
        <v>20293.9</v>
      </c>
      <c r="C18" s="27">
        <v>25138.9</v>
      </c>
      <c r="D18" s="28">
        <v>30990.55</v>
      </c>
      <c r="E18" s="27">
        <v>31400.872228602744</v>
      </c>
      <c r="F18" s="27">
        <v>32625.50624551824</v>
      </c>
      <c r="G18" s="27">
        <v>34028.40301407553</v>
      </c>
      <c r="H18" s="28">
        <v>35831.908373821534</v>
      </c>
    </row>
    <row r="19" spans="1:8" ht="15.75">
      <c r="A19" s="29" t="s">
        <v>22</v>
      </c>
      <c r="B19" s="30">
        <v>1068.1</v>
      </c>
      <c r="C19" s="30">
        <v>1323.1</v>
      </c>
      <c r="D19" s="31">
        <v>1578.45</v>
      </c>
      <c r="E19" s="30">
        <v>1642.3050328767129</v>
      </c>
      <c r="F19" s="30">
        <v>1706.3549291589038</v>
      </c>
      <c r="G19" s="30">
        <v>1779.7281911127368</v>
      </c>
      <c r="H19" s="31">
        <v>1874.0537852417124</v>
      </c>
    </row>
    <row r="20" spans="1:8" ht="15.75">
      <c r="A20" s="23" t="s">
        <v>23</v>
      </c>
      <c r="B20" s="24">
        <f aca="true" t="shared" si="9" ref="B20:H20">B21+B22</f>
        <v>6314.558799999999</v>
      </c>
      <c r="C20" s="24">
        <f t="shared" si="9"/>
        <v>8498.469999999998</v>
      </c>
      <c r="D20" s="25">
        <f t="shared" si="9"/>
        <v>11933.830799999998</v>
      </c>
      <c r="E20" s="24">
        <f t="shared" si="9"/>
        <v>26418.027681753425</v>
      </c>
      <c r="F20" s="24">
        <f t="shared" si="9"/>
        <v>29130.175383441172</v>
      </c>
      <c r="G20" s="24">
        <f t="shared" si="9"/>
        <v>46692.69146362694</v>
      </c>
      <c r="H20" s="25">
        <f t="shared" si="9"/>
        <v>53563.09171375082</v>
      </c>
    </row>
    <row r="21" spans="1:8" ht="15.75">
      <c r="A21" s="26" t="s">
        <v>24</v>
      </c>
      <c r="B21" s="27">
        <f>Pasiva!B4-B17-B13-B22-B5-B23</f>
        <v>5314.558799999999</v>
      </c>
      <c r="C21" s="27">
        <f>B21+'Cash flow'!C21</f>
        <v>7498.4699999999975</v>
      </c>
      <c r="D21" s="28">
        <f>C21+'Cash flow'!D21</f>
        <v>10933.830799999998</v>
      </c>
      <c r="E21" s="27">
        <f>D21+'Cash flow'!E21</f>
        <v>25418.027681753425</v>
      </c>
      <c r="F21" s="27">
        <f>E21+'Cash flow'!F21</f>
        <v>28130.175383441172</v>
      </c>
      <c r="G21" s="27">
        <f>F21+'Cash flow'!G21</f>
        <v>45692.69146362694</v>
      </c>
      <c r="H21" s="28">
        <f>G21+'Cash flow'!H21</f>
        <v>52563.09171375082</v>
      </c>
    </row>
    <row r="22" spans="1:8" ht="16.5" thickBot="1">
      <c r="A22" s="35" t="s">
        <v>25</v>
      </c>
      <c r="B22" s="36">
        <v>1000</v>
      </c>
      <c r="C22" s="36">
        <v>1000</v>
      </c>
      <c r="D22" s="37">
        <v>1000</v>
      </c>
      <c r="E22" s="36">
        <f>D22</f>
        <v>1000</v>
      </c>
      <c r="F22" s="36">
        <f>E22</f>
        <v>1000</v>
      </c>
      <c r="G22" s="36">
        <f>F22</f>
        <v>1000</v>
      </c>
      <c r="H22" s="37">
        <f>G22</f>
        <v>1000</v>
      </c>
    </row>
    <row r="23" spans="1:8" ht="15.75">
      <c r="A23" s="32" t="s">
        <v>26</v>
      </c>
      <c r="B23" s="33">
        <f aca="true" t="shared" si="10" ref="B23:H23">B24</f>
        <v>1000</v>
      </c>
      <c r="C23" s="33">
        <f t="shared" si="10"/>
        <v>500</v>
      </c>
      <c r="D23" s="34">
        <f t="shared" si="10"/>
        <v>0</v>
      </c>
      <c r="E23" s="33">
        <f t="shared" si="10"/>
        <v>0</v>
      </c>
      <c r="F23" s="33">
        <f t="shared" si="10"/>
        <v>0</v>
      </c>
      <c r="G23" s="33">
        <f t="shared" si="10"/>
        <v>0</v>
      </c>
      <c r="H23" s="34">
        <f t="shared" si="10"/>
        <v>0</v>
      </c>
    </row>
    <row r="24" spans="1:8" ht="16.5" thickBot="1">
      <c r="A24" s="35" t="s">
        <v>27</v>
      </c>
      <c r="B24" s="90">
        <v>1000</v>
      </c>
      <c r="C24" s="90">
        <v>500</v>
      </c>
      <c r="D24" s="91">
        <v>0</v>
      </c>
      <c r="E24" s="90">
        <v>0</v>
      </c>
      <c r="F24" s="90">
        <v>0</v>
      </c>
      <c r="G24" s="90">
        <v>0</v>
      </c>
      <c r="H24" s="91">
        <v>0</v>
      </c>
    </row>
    <row r="26" spans="1:8" ht="18">
      <c r="A26" s="41" t="s">
        <v>28</v>
      </c>
      <c r="B26" s="2"/>
      <c r="C26" s="2"/>
      <c r="D26" s="2"/>
      <c r="E26" s="2"/>
      <c r="F26" s="2"/>
      <c r="G26" s="2"/>
      <c r="H26" s="2"/>
    </row>
    <row r="29" spans="4:8" ht="12.75">
      <c r="D29" s="111"/>
      <c r="E29" s="111"/>
      <c r="F29" s="111"/>
      <c r="G29" s="111"/>
      <c r="H29" s="111"/>
    </row>
    <row r="30" spans="4:8" ht="12.75">
      <c r="D30" s="111"/>
      <c r="E30" s="111"/>
      <c r="F30" s="111"/>
      <c r="G30" s="111"/>
      <c r="H30" s="111"/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75390625" style="0" customWidth="1"/>
    <col min="2" max="8" width="8.125" style="0" customWidth="1"/>
    <col min="9" max="10" width="10.25390625" style="0" customWidth="1"/>
  </cols>
  <sheetData>
    <row r="1" spans="1:8" ht="15.75">
      <c r="A1" s="13" t="s">
        <v>127</v>
      </c>
      <c r="B1" s="4"/>
      <c r="C1" s="4"/>
      <c r="D1" s="4"/>
      <c r="E1" s="4"/>
      <c r="F1" s="4"/>
      <c r="G1" s="4"/>
      <c r="H1" s="4"/>
    </row>
    <row r="2" spans="1:8" ht="16.5" thickBot="1">
      <c r="A2" s="14"/>
      <c r="B2" s="4"/>
      <c r="C2" s="4"/>
      <c r="D2" s="4"/>
      <c r="E2" s="4"/>
      <c r="F2" s="4"/>
      <c r="G2" s="4"/>
      <c r="H2" s="4"/>
    </row>
    <row r="3" spans="1:8" ht="16.5" thickBot="1">
      <c r="A3" s="15" t="s">
        <v>29</v>
      </c>
      <c r="B3" s="16">
        <f>Aktiva!B3</f>
        <v>2005</v>
      </c>
      <c r="C3" s="16">
        <f>Aktiva!C3</f>
        <v>2006</v>
      </c>
      <c r="D3" s="17">
        <f>Aktiva!D3</f>
        <v>2007</v>
      </c>
      <c r="E3" s="18">
        <f>Aktiva!E3</f>
        <v>2008</v>
      </c>
      <c r="F3" s="18">
        <f>Aktiva!F3</f>
        <v>2009</v>
      </c>
      <c r="G3" s="18">
        <f>Aktiva!G3</f>
        <v>2010</v>
      </c>
      <c r="H3" s="19">
        <f>Aktiva!H3</f>
        <v>2011</v>
      </c>
    </row>
    <row r="4" spans="1:8" ht="16.5" thickBot="1">
      <c r="A4" s="38" t="s">
        <v>30</v>
      </c>
      <c r="B4" s="39">
        <f aca="true" t="shared" si="0" ref="B4:H4">(B12+B5+B19)</f>
        <v>100962.5588</v>
      </c>
      <c r="C4" s="39">
        <f t="shared" si="0"/>
        <v>122029.47</v>
      </c>
      <c r="D4" s="40">
        <f t="shared" si="0"/>
        <v>129167.8308</v>
      </c>
      <c r="E4" s="39">
        <f t="shared" si="0"/>
        <v>139654.39465084934</v>
      </c>
      <c r="F4" s="39">
        <f t="shared" si="0"/>
        <v>136263.71542466077</v>
      </c>
      <c r="G4" s="39">
        <f t="shared" si="0"/>
        <v>195867.1758754196</v>
      </c>
      <c r="H4" s="40">
        <f t="shared" si="0"/>
        <v>212428.38455641683</v>
      </c>
    </row>
    <row r="5" spans="1:8" ht="15.75">
      <c r="A5" s="32" t="s">
        <v>31</v>
      </c>
      <c r="B5" s="21">
        <f aca="true" t="shared" si="1" ref="B5:H5">SUM(B6:B10)</f>
        <v>28341.5588</v>
      </c>
      <c r="C5" s="21">
        <f t="shared" si="1"/>
        <v>35320.47</v>
      </c>
      <c r="D5" s="22">
        <f t="shared" si="1"/>
        <v>39127.830799999996</v>
      </c>
      <c r="E5" s="21">
        <f t="shared" si="1"/>
        <v>46539.5404</v>
      </c>
      <c r="F5" s="21">
        <f t="shared" si="1"/>
        <v>54691.9324</v>
      </c>
      <c r="G5" s="21">
        <f t="shared" si="1"/>
        <v>58680.5668</v>
      </c>
      <c r="H5" s="22">
        <f t="shared" si="1"/>
        <v>71815.7212</v>
      </c>
    </row>
    <row r="6" spans="1:8" ht="15.75">
      <c r="A6" s="42" t="s">
        <v>32</v>
      </c>
      <c r="B6" s="43">
        <v>10000</v>
      </c>
      <c r="C6" s="43">
        <v>10000</v>
      </c>
      <c r="D6" s="44">
        <v>10000</v>
      </c>
      <c r="E6" s="43">
        <f aca="true" t="shared" si="2" ref="E6:H8">D6</f>
        <v>10000</v>
      </c>
      <c r="F6" s="43">
        <f t="shared" si="2"/>
        <v>10000</v>
      </c>
      <c r="G6" s="43">
        <f t="shared" si="2"/>
        <v>10000</v>
      </c>
      <c r="H6" s="44">
        <f t="shared" si="2"/>
        <v>10000</v>
      </c>
    </row>
    <row r="7" spans="1:8" ht="15.75">
      <c r="A7" s="42" t="s">
        <v>33</v>
      </c>
      <c r="B7" s="43">
        <v>5000</v>
      </c>
      <c r="C7" s="43">
        <v>5000</v>
      </c>
      <c r="D7" s="44">
        <v>5000</v>
      </c>
      <c r="E7" s="43">
        <f t="shared" si="2"/>
        <v>5000</v>
      </c>
      <c r="F7" s="43">
        <f t="shared" si="2"/>
        <v>5000</v>
      </c>
      <c r="G7" s="43">
        <f t="shared" si="2"/>
        <v>5000</v>
      </c>
      <c r="H7" s="44">
        <f t="shared" si="2"/>
        <v>5000</v>
      </c>
    </row>
    <row r="8" spans="1:8" ht="15.75">
      <c r="A8" s="42" t="s">
        <v>34</v>
      </c>
      <c r="B8" s="43">
        <v>2000</v>
      </c>
      <c r="C8" s="43">
        <v>2000</v>
      </c>
      <c r="D8" s="44">
        <v>2000</v>
      </c>
      <c r="E8" s="43">
        <f t="shared" si="2"/>
        <v>2000</v>
      </c>
      <c r="F8" s="43">
        <f t="shared" si="2"/>
        <v>2000</v>
      </c>
      <c r="G8" s="43">
        <f t="shared" si="2"/>
        <v>2000</v>
      </c>
      <c r="H8" s="44">
        <f t="shared" si="2"/>
        <v>2000</v>
      </c>
    </row>
    <row r="9" spans="1:8" ht="15.75">
      <c r="A9" s="42" t="s">
        <v>35</v>
      </c>
      <c r="B9" s="43">
        <v>2100</v>
      </c>
      <c r="C9" s="43">
        <f>B9+Výsledovka!B22-(C8-B8)</f>
        <v>9381.558799999999</v>
      </c>
      <c r="D9" s="44">
        <f>C9+Výsledovka!C22</f>
        <v>13247.469999999998</v>
      </c>
      <c r="E9" s="43">
        <f>D9+Výsledovka!D22</f>
        <v>18007.830799999996</v>
      </c>
      <c r="F9" s="43">
        <f>E9+Výsledovka!E22</f>
        <v>26539.540399999998</v>
      </c>
      <c r="G9" s="43">
        <f>F9+Výsledovka!F22</f>
        <v>34691.9324</v>
      </c>
      <c r="H9" s="44">
        <f>G9+Výsledovka!G22</f>
        <v>38680.5668</v>
      </c>
    </row>
    <row r="10" spans="1:8" ht="16.5" thickBot="1">
      <c r="A10" s="23" t="s">
        <v>36</v>
      </c>
      <c r="B10" s="24">
        <f>Výsledovka!B20</f>
        <v>9241.558799999999</v>
      </c>
      <c r="C10" s="24">
        <f>Výsledovka!C20</f>
        <v>8938.911199999999</v>
      </c>
      <c r="D10" s="25">
        <f>Výsledovka!D20</f>
        <v>8880.3608</v>
      </c>
      <c r="E10" s="24">
        <f>Výsledovka!E20</f>
        <v>11531.7096</v>
      </c>
      <c r="F10" s="24">
        <f>Výsledovka!F20</f>
        <v>11152.392</v>
      </c>
      <c r="G10" s="24">
        <f>Výsledovka!G20</f>
        <v>6988.6344</v>
      </c>
      <c r="H10" s="25">
        <f>Výsledovka!H20</f>
        <v>16135.1544</v>
      </c>
    </row>
    <row r="11" spans="1:8" ht="16.5" hidden="1" thickBot="1">
      <c r="A11" s="23"/>
      <c r="B11" s="24"/>
      <c r="C11" s="24"/>
      <c r="D11" s="25"/>
      <c r="E11" s="24"/>
      <c r="F11" s="24"/>
      <c r="G11" s="24"/>
      <c r="H11" s="25"/>
    </row>
    <row r="12" spans="1:8" ht="15.75">
      <c r="A12" s="32" t="s">
        <v>37</v>
      </c>
      <c r="B12" s="33">
        <f aca="true" t="shared" si="3" ref="B12:H12">B13+B14+B15+B18</f>
        <v>71421</v>
      </c>
      <c r="C12" s="33">
        <f t="shared" si="3"/>
        <v>85609</v>
      </c>
      <c r="D12" s="34">
        <f t="shared" si="3"/>
        <v>89140</v>
      </c>
      <c r="E12" s="33">
        <f t="shared" si="3"/>
        <v>92214.85425084933</v>
      </c>
      <c r="F12" s="33">
        <f t="shared" si="3"/>
        <v>80671.78302466078</v>
      </c>
      <c r="G12" s="33">
        <f t="shared" si="3"/>
        <v>136286.6090754196</v>
      </c>
      <c r="H12" s="34">
        <f t="shared" si="3"/>
        <v>139712.66335641683</v>
      </c>
    </row>
    <row r="13" spans="1:8" ht="15.75">
      <c r="A13" s="42" t="s">
        <v>38</v>
      </c>
      <c r="B13" s="43">
        <v>916</v>
      </c>
      <c r="C13" s="43">
        <v>1916</v>
      </c>
      <c r="D13" s="44">
        <v>716</v>
      </c>
      <c r="E13" s="43">
        <f>D13</f>
        <v>716</v>
      </c>
      <c r="F13" s="43">
        <f>E13</f>
        <v>716</v>
      </c>
      <c r="G13" s="43">
        <f>F13</f>
        <v>716</v>
      </c>
      <c r="H13" s="44">
        <f>G13</f>
        <v>716</v>
      </c>
    </row>
    <row r="14" spans="1:8" ht="15.75">
      <c r="A14" s="42" t="s">
        <v>39</v>
      </c>
      <c r="B14" s="43">
        <v>13200</v>
      </c>
      <c r="C14" s="43">
        <f>B14</f>
        <v>13200</v>
      </c>
      <c r="D14" s="44">
        <f>C14</f>
        <v>13200</v>
      </c>
      <c r="E14" s="43">
        <f>D14</f>
        <v>13200</v>
      </c>
      <c r="F14" s="43">
        <v>0</v>
      </c>
      <c r="G14" s="43">
        <v>0</v>
      </c>
      <c r="H14" s="44">
        <v>0</v>
      </c>
    </row>
    <row r="15" spans="1:8" ht="15.75">
      <c r="A15" s="23" t="s">
        <v>40</v>
      </c>
      <c r="B15" s="24">
        <f aca="true" t="shared" si="4" ref="B15:H15">B16+B17</f>
        <v>29532</v>
      </c>
      <c r="C15" s="24">
        <f t="shared" si="4"/>
        <v>37186</v>
      </c>
      <c r="D15" s="25">
        <f t="shared" si="4"/>
        <v>39428</v>
      </c>
      <c r="E15" s="24">
        <f t="shared" si="4"/>
        <v>42502.85425084933</v>
      </c>
      <c r="F15" s="24">
        <f t="shared" si="4"/>
        <v>44159.78302466078</v>
      </c>
      <c r="G15" s="24">
        <f t="shared" si="4"/>
        <v>45774.60907541959</v>
      </c>
      <c r="H15" s="25">
        <f t="shared" si="4"/>
        <v>49200.66335641682</v>
      </c>
    </row>
    <row r="16" spans="1:8" ht="15.75">
      <c r="A16" s="26" t="s">
        <v>41</v>
      </c>
      <c r="B16" s="27">
        <v>24821</v>
      </c>
      <c r="C16" s="27">
        <v>30591</v>
      </c>
      <c r="D16" s="28">
        <v>31884</v>
      </c>
      <c r="E16" s="27">
        <v>34422.7134890959</v>
      </c>
      <c r="F16" s="27">
        <v>35764.516773198964</v>
      </c>
      <c r="G16" s="27">
        <v>37018.34637514492</v>
      </c>
      <c r="H16" s="28">
        <v>39980.3187330276</v>
      </c>
    </row>
    <row r="17" spans="1:8" ht="15.75">
      <c r="A17" s="29" t="s">
        <v>42</v>
      </c>
      <c r="B17" s="30">
        <v>4711</v>
      </c>
      <c r="C17" s="30">
        <v>6595</v>
      </c>
      <c r="D17" s="31">
        <v>7544</v>
      </c>
      <c r="E17" s="30">
        <v>8080.140761753427</v>
      </c>
      <c r="F17" s="30">
        <v>8395.26625146181</v>
      </c>
      <c r="G17" s="30">
        <v>8756.262700274665</v>
      </c>
      <c r="H17" s="31">
        <v>9220.344623389225</v>
      </c>
    </row>
    <row r="18" spans="1:8" ht="16.5" thickBot="1">
      <c r="A18" s="45" t="s">
        <v>43</v>
      </c>
      <c r="B18" s="46">
        <v>27773</v>
      </c>
      <c r="C18" s="46">
        <v>33307</v>
      </c>
      <c r="D18" s="47">
        <v>35796</v>
      </c>
      <c r="E18" s="46">
        <f>D18</f>
        <v>35796</v>
      </c>
      <c r="F18" s="46">
        <f>E18</f>
        <v>35796</v>
      </c>
      <c r="G18" s="46">
        <f>F18+54000</f>
        <v>89796</v>
      </c>
      <c r="H18" s="47">
        <f>G18</f>
        <v>89796</v>
      </c>
    </row>
    <row r="19" spans="1:8" ht="15.75">
      <c r="A19" s="32" t="s">
        <v>44</v>
      </c>
      <c r="B19" s="33">
        <f aca="true" t="shared" si="5" ref="B19:H19">B20</f>
        <v>1200</v>
      </c>
      <c r="C19" s="33">
        <f t="shared" si="5"/>
        <v>1100</v>
      </c>
      <c r="D19" s="34">
        <f t="shared" si="5"/>
        <v>900</v>
      </c>
      <c r="E19" s="33">
        <f t="shared" si="5"/>
        <v>900</v>
      </c>
      <c r="F19" s="33">
        <f t="shared" si="5"/>
        <v>900</v>
      </c>
      <c r="G19" s="33">
        <f t="shared" si="5"/>
        <v>900</v>
      </c>
      <c r="H19" s="34">
        <f t="shared" si="5"/>
        <v>900</v>
      </c>
    </row>
    <row r="20" spans="1:8" ht="16.5" thickBot="1">
      <c r="A20" s="35" t="s">
        <v>45</v>
      </c>
      <c r="B20" s="36">
        <v>1200</v>
      </c>
      <c r="C20" s="36">
        <v>1100</v>
      </c>
      <c r="D20" s="37">
        <v>900</v>
      </c>
      <c r="E20" s="36">
        <f>D20</f>
        <v>900</v>
      </c>
      <c r="F20" s="36">
        <f>E20</f>
        <v>900</v>
      </c>
      <c r="G20" s="36">
        <f>F20</f>
        <v>900</v>
      </c>
      <c r="H20" s="37">
        <f>G20</f>
        <v>900</v>
      </c>
    </row>
    <row r="22" spans="1:8" ht="18">
      <c r="A22" s="41" t="s">
        <v>28</v>
      </c>
      <c r="B22" s="2"/>
      <c r="C22" s="2"/>
      <c r="D22" s="2"/>
      <c r="E22" s="2"/>
      <c r="F22" s="2"/>
      <c r="G22" s="2"/>
      <c r="H22" s="2"/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00390625" style="0" customWidth="1"/>
    <col min="2" max="8" width="8.125" style="0" customWidth="1"/>
    <col min="9" max="10" width="10.25390625" style="0" customWidth="1"/>
  </cols>
  <sheetData>
    <row r="1" spans="1:8" ht="15.75">
      <c r="A1" s="13" t="s">
        <v>46</v>
      </c>
      <c r="B1" s="4"/>
      <c r="C1" s="4"/>
      <c r="D1" s="4"/>
      <c r="E1" s="4"/>
      <c r="F1" s="4"/>
      <c r="G1" s="4"/>
      <c r="H1" s="4"/>
    </row>
    <row r="2" spans="1:8" ht="16.5" thickBot="1">
      <c r="A2" s="49" t="s">
        <v>47</v>
      </c>
      <c r="B2" s="50">
        <v>0.26</v>
      </c>
      <c r="C2" s="94">
        <v>0.24</v>
      </c>
      <c r="D2" s="94">
        <v>0.24</v>
      </c>
      <c r="E2" s="50">
        <v>0.21</v>
      </c>
      <c r="F2" s="94">
        <v>0.2</v>
      </c>
      <c r="G2" s="94">
        <v>0.19</v>
      </c>
      <c r="H2" s="94">
        <f>G2</f>
        <v>0.19</v>
      </c>
    </row>
    <row r="3" spans="1:8" ht="15.75" hidden="1">
      <c r="A3" s="49"/>
      <c r="B3" s="50"/>
      <c r="C3" s="4"/>
      <c r="D3" s="4"/>
      <c r="E3" s="50"/>
      <c r="F3" s="4"/>
      <c r="G3" s="4"/>
      <c r="H3" s="4"/>
    </row>
    <row r="4" spans="1:8" ht="15.75" hidden="1">
      <c r="A4" s="49"/>
      <c r="B4" s="50"/>
      <c r="C4" s="4"/>
      <c r="D4" s="4"/>
      <c r="E4" s="50"/>
      <c r="F4" s="4"/>
      <c r="G4" s="4"/>
      <c r="H4" s="4"/>
    </row>
    <row r="5" spans="1:8" ht="16.5" hidden="1" thickBot="1">
      <c r="A5" s="49"/>
      <c r="B5" s="50"/>
      <c r="C5" s="4"/>
      <c r="D5" s="4"/>
      <c r="E5" s="50"/>
      <c r="F5" s="4"/>
      <c r="G5" s="4"/>
      <c r="H5" s="4"/>
    </row>
    <row r="6" spans="1:8" ht="16.5" thickBot="1">
      <c r="A6" s="15" t="s">
        <v>48</v>
      </c>
      <c r="B6" s="16">
        <f>Aktiva!B3</f>
        <v>2005</v>
      </c>
      <c r="C6" s="16">
        <f>Aktiva!C3</f>
        <v>2006</v>
      </c>
      <c r="D6" s="17">
        <f>Aktiva!D3</f>
        <v>2007</v>
      </c>
      <c r="E6" s="18">
        <f>Aktiva!E3</f>
        <v>2008</v>
      </c>
      <c r="F6" s="18">
        <f>Aktiva!F3</f>
        <v>2009</v>
      </c>
      <c r="G6" s="18">
        <f>Aktiva!G3</f>
        <v>2010</v>
      </c>
      <c r="H6" s="19">
        <f>Aktiva!H3</f>
        <v>2011</v>
      </c>
    </row>
    <row r="7" spans="1:8" ht="15.75">
      <c r="A7" s="23" t="s">
        <v>49</v>
      </c>
      <c r="B7" s="24">
        <v>164928</v>
      </c>
      <c r="C7" s="24">
        <v>205432</v>
      </c>
      <c r="D7" s="25">
        <v>227406</v>
      </c>
      <c r="E7" s="24">
        <v>241556</v>
      </c>
      <c r="F7" s="24">
        <v>250703</v>
      </c>
      <c r="G7" s="24">
        <v>261232</v>
      </c>
      <c r="H7" s="25">
        <v>284986</v>
      </c>
    </row>
    <row r="8" spans="1:8" ht="15.75">
      <c r="A8" s="26" t="s">
        <v>50</v>
      </c>
      <c r="B8" s="27">
        <v>34413.1</v>
      </c>
      <c r="C8" s="27">
        <v>42224.6</v>
      </c>
      <c r="D8" s="28">
        <v>52294</v>
      </c>
      <c r="E8" s="27">
        <v>54909</v>
      </c>
      <c r="F8" s="27">
        <v>57655</v>
      </c>
      <c r="G8" s="27">
        <v>60537</v>
      </c>
      <c r="H8" s="28">
        <v>63564</v>
      </c>
    </row>
    <row r="9" spans="1:8" ht="15.75">
      <c r="A9" s="26" t="s">
        <v>51</v>
      </c>
      <c r="B9" s="27">
        <v>94924.6</v>
      </c>
      <c r="C9" s="27">
        <v>123314.5</v>
      </c>
      <c r="D9" s="28">
        <v>132100</v>
      </c>
      <c r="E9" s="27">
        <v>139162</v>
      </c>
      <c r="F9" s="27">
        <v>144729</v>
      </c>
      <c r="G9" s="27">
        <v>150518</v>
      </c>
      <c r="H9" s="28">
        <v>156539</v>
      </c>
    </row>
    <row r="10" spans="1:8" ht="15.75">
      <c r="A10" s="26" t="s">
        <v>52</v>
      </c>
      <c r="B10" s="27">
        <v>7247</v>
      </c>
      <c r="C10" s="27">
        <v>9279.05</v>
      </c>
      <c r="D10" s="28">
        <v>10415</v>
      </c>
      <c r="E10" s="27">
        <v>11144</v>
      </c>
      <c r="F10" s="27">
        <v>11924</v>
      </c>
      <c r="G10" s="27">
        <v>12758</v>
      </c>
      <c r="H10" s="28">
        <v>13651</v>
      </c>
    </row>
    <row r="11" spans="1:8" ht="15.75">
      <c r="A11" s="26" t="s">
        <v>53</v>
      </c>
      <c r="B11" s="27">
        <v>9271.3</v>
      </c>
      <c r="C11" s="27">
        <v>11762.85</v>
      </c>
      <c r="D11" s="28">
        <v>13491</v>
      </c>
      <c r="E11" s="27">
        <v>14165</v>
      </c>
      <c r="F11" s="27">
        <v>14873</v>
      </c>
      <c r="G11" s="27">
        <v>15617</v>
      </c>
      <c r="H11" s="28">
        <v>16398</v>
      </c>
    </row>
    <row r="12" spans="1:8" ht="15.75">
      <c r="A12" s="26" t="s">
        <v>54</v>
      </c>
      <c r="B12" s="27">
        <v>5000</v>
      </c>
      <c r="C12" s="27">
        <v>5000</v>
      </c>
      <c r="D12" s="28">
        <v>5000</v>
      </c>
      <c r="E12" s="27">
        <v>5000</v>
      </c>
      <c r="F12" s="27">
        <v>5000</v>
      </c>
      <c r="G12" s="27">
        <f>F12+50000/8</f>
        <v>11250</v>
      </c>
      <c r="H12" s="28">
        <f>1000+50000/8+20000/8</f>
        <v>9750</v>
      </c>
    </row>
    <row r="13" spans="1:8" ht="15.75">
      <c r="A13" s="42" t="s">
        <v>55</v>
      </c>
      <c r="B13" s="43">
        <f aca="true" t="shared" si="0" ref="B13:H13">B7-SUM(B8:B12)</f>
        <v>14072</v>
      </c>
      <c r="C13" s="43">
        <f t="shared" si="0"/>
        <v>13851</v>
      </c>
      <c r="D13" s="44">
        <f t="shared" si="0"/>
        <v>14106</v>
      </c>
      <c r="E13" s="43">
        <f t="shared" si="0"/>
        <v>17176</v>
      </c>
      <c r="F13" s="43">
        <f t="shared" si="0"/>
        <v>16522</v>
      </c>
      <c r="G13" s="43">
        <f t="shared" si="0"/>
        <v>10552</v>
      </c>
      <c r="H13" s="44">
        <f t="shared" si="0"/>
        <v>25084</v>
      </c>
    </row>
    <row r="14" spans="1:8" ht="15.75">
      <c r="A14" s="26" t="s">
        <v>56</v>
      </c>
      <c r="B14" s="27">
        <f>Úvod!$D$49*Aktiva!B22+Úvod!$D$48*Aktiva!B11</f>
        <v>185</v>
      </c>
      <c r="C14" s="27">
        <f>Úvod!$D$49*Aktiva!C22+Úvod!$D$48*Aktiva!C11</f>
        <v>185</v>
      </c>
      <c r="D14" s="28">
        <f>Úvod!$D$49*Aktiva!D22+Úvod!$D$48*Aktiva!D11</f>
        <v>185</v>
      </c>
      <c r="E14" s="27">
        <f>Úvod!$D$49*Aktiva!E22+Úvod!$D$48*Aktiva!E11</f>
        <v>185</v>
      </c>
      <c r="F14" s="27">
        <f>Úvod!$D$49*Aktiva!F22+Úvod!$D$48*Aktiva!F11</f>
        <v>185</v>
      </c>
      <c r="G14" s="27">
        <f>Úvod!$D$49*Aktiva!G22+Úvod!$D$48*Aktiva!G11</f>
        <v>185</v>
      </c>
      <c r="H14" s="28">
        <f>Úvod!$D$49*Aktiva!H22+Úvod!$D$48*Aktiva!H11</f>
        <v>185</v>
      </c>
    </row>
    <row r="15" spans="1:8" ht="15.75">
      <c r="A15" s="26" t="s">
        <v>57</v>
      </c>
      <c r="B15" s="27">
        <f>Úvod!$D$50*Pasiva!B14+Úvod!$D$51*Pasiva!B18-500</f>
        <v>1826.38</v>
      </c>
      <c r="C15" s="27">
        <f>Úvod!$D$50*Pasiva!B14+Úvod!$D$51*Pasiva!B18</f>
        <v>2326.38</v>
      </c>
      <c r="D15" s="28">
        <f>Úvod!$D$50*Pasiva!C14+Úvod!$D$51*Pasiva!C18</f>
        <v>2658.42</v>
      </c>
      <c r="E15" s="27">
        <f>Úvod!$D$50*Pasiva!D14+Úvod!$D$51*Pasiva!D18</f>
        <v>2807.7599999999998</v>
      </c>
      <c r="F15" s="27">
        <f>Úvod!$D$50*Pasiva!E14+Úvod!$D$51*Pasiva!E18</f>
        <v>2807.7599999999998</v>
      </c>
      <c r="G15" s="27">
        <f>Úvod!$D$50*Pasiva!F14+Úvod!$D$51*Pasiva!F18</f>
        <v>2147.7599999999998</v>
      </c>
      <c r="H15" s="28">
        <f>Úvod!$D$50*Pasiva!G14+Úvod!$D$51*Pasiva!G18</f>
        <v>5387.76</v>
      </c>
    </row>
    <row r="16" spans="1:8" ht="15.75">
      <c r="A16" s="42" t="s">
        <v>58</v>
      </c>
      <c r="B16" s="43">
        <f aca="true" t="shared" si="1" ref="B16:H16">B14-B15</f>
        <v>-1641.38</v>
      </c>
      <c r="C16" s="43">
        <f t="shared" si="1"/>
        <v>-2141.38</v>
      </c>
      <c r="D16" s="44">
        <f t="shared" si="1"/>
        <v>-2473.42</v>
      </c>
      <c r="E16" s="30">
        <f t="shared" si="1"/>
        <v>-2622.7599999999998</v>
      </c>
      <c r="F16" s="30">
        <f t="shared" si="1"/>
        <v>-2622.7599999999998</v>
      </c>
      <c r="G16" s="30">
        <f t="shared" si="1"/>
        <v>-1962.7599999999998</v>
      </c>
      <c r="H16" s="31">
        <f t="shared" si="1"/>
        <v>-5202.76</v>
      </c>
    </row>
    <row r="17" spans="1:8" ht="15.75">
      <c r="A17" s="51" t="s">
        <v>59</v>
      </c>
      <c r="B17" s="52">
        <f aca="true" t="shared" si="2" ref="B17:H17">B13+B16</f>
        <v>12430.619999999999</v>
      </c>
      <c r="C17" s="52">
        <f t="shared" si="2"/>
        <v>11709.619999999999</v>
      </c>
      <c r="D17" s="53">
        <f t="shared" si="2"/>
        <v>11632.58</v>
      </c>
      <c r="E17" s="52">
        <f t="shared" si="2"/>
        <v>14553.24</v>
      </c>
      <c r="F17" s="52">
        <f t="shared" si="2"/>
        <v>13899.24</v>
      </c>
      <c r="G17" s="52">
        <f t="shared" si="2"/>
        <v>8589.24</v>
      </c>
      <c r="H17" s="53">
        <f t="shared" si="2"/>
        <v>19881.239999999998</v>
      </c>
    </row>
    <row r="18" spans="1:8" ht="15.75">
      <c r="A18" s="26" t="s">
        <v>60</v>
      </c>
      <c r="B18" s="27">
        <f>B17-Úvod!$D$48*Aktiva!B11</f>
        <v>12265.619999999999</v>
      </c>
      <c r="C18" s="27">
        <f>C17-Úvod!$D$48*Aktiva!C11</f>
        <v>11544.619999999999</v>
      </c>
      <c r="D18" s="28">
        <f>D17-Úvod!$D$48*Aktiva!D11</f>
        <v>11467.58</v>
      </c>
      <c r="E18" s="27">
        <f>E17-Úvod!$D$48*Aktiva!E11</f>
        <v>14388.24</v>
      </c>
      <c r="F18" s="27">
        <f>F17-Úvod!$D$48*Aktiva!F11</f>
        <v>13734.24</v>
      </c>
      <c r="G18" s="27">
        <f>G17-Úvod!$D$48*Aktiva!G11</f>
        <v>8424.24</v>
      </c>
      <c r="H18" s="28">
        <f>H17-Úvod!$D$48*Aktiva!H11</f>
        <v>19716.239999999998</v>
      </c>
    </row>
    <row r="19" spans="1:8" ht="15.75">
      <c r="A19" s="26" t="s">
        <v>61</v>
      </c>
      <c r="B19" s="27">
        <f>B18*B2</f>
        <v>3189.0611999999996</v>
      </c>
      <c r="C19" s="27">
        <f aca="true" t="shared" si="3" ref="C19:H19">C18*C2</f>
        <v>2770.7087999999994</v>
      </c>
      <c r="D19" s="28">
        <f t="shared" si="3"/>
        <v>2752.2192</v>
      </c>
      <c r="E19" s="27">
        <f t="shared" si="3"/>
        <v>3021.5303999999996</v>
      </c>
      <c r="F19" s="27">
        <f t="shared" si="3"/>
        <v>2746.848</v>
      </c>
      <c r="G19" s="27">
        <f t="shared" si="3"/>
        <v>1600.6055999999999</v>
      </c>
      <c r="H19" s="28">
        <f t="shared" si="3"/>
        <v>3746.0855999999994</v>
      </c>
    </row>
    <row r="20" spans="1:8" ht="15.75">
      <c r="A20" s="51" t="s">
        <v>62</v>
      </c>
      <c r="B20" s="52">
        <f aca="true" t="shared" si="4" ref="B20:H20">B17-B19</f>
        <v>9241.558799999999</v>
      </c>
      <c r="C20" s="52">
        <f t="shared" si="4"/>
        <v>8938.911199999999</v>
      </c>
      <c r="D20" s="53">
        <f t="shared" si="4"/>
        <v>8880.3608</v>
      </c>
      <c r="E20" s="52">
        <f t="shared" si="4"/>
        <v>11531.7096</v>
      </c>
      <c r="F20" s="52">
        <f t="shared" si="4"/>
        <v>11152.392</v>
      </c>
      <c r="G20" s="52">
        <f t="shared" si="4"/>
        <v>6988.6344</v>
      </c>
      <c r="H20" s="53">
        <f t="shared" si="4"/>
        <v>16135.1544</v>
      </c>
    </row>
    <row r="21" spans="1:8" ht="15.75">
      <c r="A21" s="26" t="s">
        <v>63</v>
      </c>
      <c r="B21" s="27">
        <v>1960</v>
      </c>
      <c r="C21" s="27">
        <v>5073</v>
      </c>
      <c r="D21" s="28">
        <v>4120</v>
      </c>
      <c r="E21" s="27">
        <v>3000</v>
      </c>
      <c r="F21" s="27">
        <f>E21</f>
        <v>3000</v>
      </c>
      <c r="G21" s="27">
        <f>F21</f>
        <v>3000</v>
      </c>
      <c r="H21" s="28">
        <f>G21</f>
        <v>3000</v>
      </c>
    </row>
    <row r="22" spans="1:8" ht="16.5" thickBot="1">
      <c r="A22" s="54" t="s">
        <v>64</v>
      </c>
      <c r="B22" s="55">
        <f aca="true" t="shared" si="5" ref="B22:H22">B20-B21</f>
        <v>7281.558799999999</v>
      </c>
      <c r="C22" s="55">
        <f t="shared" si="5"/>
        <v>3865.9111999999986</v>
      </c>
      <c r="D22" s="56">
        <f t="shared" si="5"/>
        <v>4760.3608</v>
      </c>
      <c r="E22" s="55">
        <f t="shared" si="5"/>
        <v>8531.7096</v>
      </c>
      <c r="F22" s="55">
        <f t="shared" si="5"/>
        <v>8152.392</v>
      </c>
      <c r="G22" s="55">
        <f t="shared" si="5"/>
        <v>3988.6344</v>
      </c>
      <c r="H22" s="56">
        <f t="shared" si="5"/>
        <v>13135.1544</v>
      </c>
    </row>
    <row r="24" spans="1:8" ht="18">
      <c r="A24" s="41" t="s">
        <v>28</v>
      </c>
      <c r="B24" s="2"/>
      <c r="C24" s="2"/>
      <c r="D24" s="2"/>
      <c r="E24" s="2"/>
      <c r="F24" s="2"/>
      <c r="G24" s="2"/>
      <c r="H24" s="2"/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0" customWidth="1"/>
    <col min="2" max="2" width="22.375" style="0" customWidth="1"/>
    <col min="3" max="8" width="8.125" style="0" customWidth="1"/>
    <col min="9" max="10" width="10.25390625" style="0" customWidth="1"/>
  </cols>
  <sheetData>
    <row r="1" spans="1:8" ht="16.5" thickBot="1">
      <c r="A1" s="13" t="s">
        <v>65</v>
      </c>
      <c r="B1" s="4"/>
      <c r="C1" s="4"/>
      <c r="D1" s="4"/>
      <c r="E1" s="4"/>
      <c r="F1" s="4"/>
      <c r="G1" s="4"/>
      <c r="H1" s="4"/>
    </row>
    <row r="2" spans="1:8" ht="16.5" thickBot="1">
      <c r="A2" s="57" t="s">
        <v>48</v>
      </c>
      <c r="B2" s="58"/>
      <c r="C2" s="57">
        <f>Aktiva!C3</f>
        <v>2006</v>
      </c>
      <c r="D2" s="59">
        <f>Aktiva!D3</f>
        <v>2007</v>
      </c>
      <c r="E2" s="60">
        <f>Aktiva!E3</f>
        <v>2008</v>
      </c>
      <c r="F2" s="60">
        <f>Aktiva!F3</f>
        <v>2009</v>
      </c>
      <c r="G2" s="60">
        <f>Aktiva!G3</f>
        <v>2010</v>
      </c>
      <c r="H2" s="61">
        <f>Aktiva!H3</f>
        <v>2011</v>
      </c>
    </row>
    <row r="3" spans="1:8" ht="15.75">
      <c r="A3" s="62" t="s">
        <v>66</v>
      </c>
      <c r="B3" s="63"/>
      <c r="C3" s="64">
        <f>Výsledovka!C20</f>
        <v>8938.911199999999</v>
      </c>
      <c r="D3" s="65">
        <f>Výsledovka!D20</f>
        <v>8880.3608</v>
      </c>
      <c r="E3" s="66">
        <f>Výsledovka!E20</f>
        <v>11531.7096</v>
      </c>
      <c r="F3" s="66">
        <f>Výsledovka!F20</f>
        <v>11152.392</v>
      </c>
      <c r="G3" s="66">
        <f>Výsledovka!G20</f>
        <v>6988.6344</v>
      </c>
      <c r="H3" s="65">
        <f>Výsledovka!H20</f>
        <v>16135.1544</v>
      </c>
    </row>
    <row r="4" spans="1:8" ht="15.75">
      <c r="A4" s="67" t="s">
        <v>54</v>
      </c>
      <c r="B4" s="68"/>
      <c r="C4" s="69">
        <f>Výsledovka!C12</f>
        <v>5000</v>
      </c>
      <c r="D4" s="70">
        <f>Výsledovka!D12</f>
        <v>5000</v>
      </c>
      <c r="E4" s="71">
        <f>Výsledovka!E12</f>
        <v>5000</v>
      </c>
      <c r="F4" s="71">
        <f>Výsledovka!F12</f>
        <v>5000</v>
      </c>
      <c r="G4" s="71">
        <f>Výsledovka!G12</f>
        <v>11250</v>
      </c>
      <c r="H4" s="70">
        <f>Výsledovka!H12</f>
        <v>9750</v>
      </c>
    </row>
    <row r="5" spans="1:8" ht="15.75">
      <c r="A5" s="67" t="s">
        <v>67</v>
      </c>
      <c r="B5" s="68"/>
      <c r="C5" s="69">
        <f>Pasiva!C13-Pasiva!B13</f>
        <v>1000</v>
      </c>
      <c r="D5" s="70">
        <f>Pasiva!D13-Pasiva!C13</f>
        <v>-1200</v>
      </c>
      <c r="E5" s="71">
        <f>Pasiva!E13-Pasiva!D13</f>
        <v>0</v>
      </c>
      <c r="F5" s="71">
        <f>Pasiva!F13-Pasiva!E13</f>
        <v>0</v>
      </c>
      <c r="G5" s="71">
        <f>Pasiva!G13-Pasiva!F13</f>
        <v>0</v>
      </c>
      <c r="H5" s="70">
        <f>Pasiva!H13-Pasiva!G13</f>
        <v>0</v>
      </c>
    </row>
    <row r="6" spans="1:8" ht="15.75">
      <c r="A6" s="67" t="s">
        <v>68</v>
      </c>
      <c r="B6" s="72"/>
      <c r="C6" s="69">
        <f>-(Aktiva!C24-Aktiva!B24)</f>
        <v>500</v>
      </c>
      <c r="D6" s="70">
        <f>-(Aktiva!D24-Aktiva!C24)</f>
        <v>500</v>
      </c>
      <c r="E6" s="71">
        <f>-(Aktiva!E24-Aktiva!D24)</f>
        <v>0</v>
      </c>
      <c r="F6" s="71">
        <f>-(Aktiva!F24-Aktiva!E24)</f>
        <v>0</v>
      </c>
      <c r="G6" s="71">
        <f>-(Aktiva!G24-Aktiva!F24)</f>
        <v>0</v>
      </c>
      <c r="H6" s="70">
        <f>-(Aktiva!H24-Aktiva!G24)</f>
        <v>0</v>
      </c>
    </row>
    <row r="7" spans="1:8" ht="15.75">
      <c r="A7" s="67" t="s">
        <v>69</v>
      </c>
      <c r="B7" s="72"/>
      <c r="C7" s="69">
        <f>Pasiva!C20-Pasiva!B20</f>
        <v>-100</v>
      </c>
      <c r="D7" s="70">
        <f>Pasiva!D20-Pasiva!C20</f>
        <v>-200</v>
      </c>
      <c r="E7" s="71">
        <f>Pasiva!E20-Pasiva!D20</f>
        <v>0</v>
      </c>
      <c r="F7" s="71">
        <f>Pasiva!F20-Pasiva!E20</f>
        <v>0</v>
      </c>
      <c r="G7" s="71">
        <f>Pasiva!G20-Pasiva!F20</f>
        <v>0</v>
      </c>
      <c r="H7" s="70">
        <f>Pasiva!H20-Pasiva!G20</f>
        <v>0</v>
      </c>
    </row>
    <row r="8" spans="1:8" ht="15.75">
      <c r="A8" s="67" t="s">
        <v>70</v>
      </c>
      <c r="B8" s="68"/>
      <c r="C8" s="69">
        <f>-(Aktiva!C17-Aktiva!B17)</f>
        <v>-5100</v>
      </c>
      <c r="D8" s="70">
        <f>-(Aktiva!D17-Aktiva!C17)</f>
        <v>-6107</v>
      </c>
      <c r="E8" s="71">
        <f>-(Aktiva!E17-Aktiva!D17)</f>
        <v>-474.1772614794536</v>
      </c>
      <c r="F8" s="71">
        <f>-(Aktiva!F17-Aktiva!E17)</f>
        <v>-1288.6839131976885</v>
      </c>
      <c r="G8" s="71">
        <f>-(Aktiva!G17-Aktiva!F17)</f>
        <v>-1476.2700305111211</v>
      </c>
      <c r="H8" s="70">
        <f>-(Aktiva!H17-Aktiva!G17)</f>
        <v>-1897.8309538749818</v>
      </c>
    </row>
    <row r="9" spans="1:8" ht="15.75">
      <c r="A9" s="67" t="s">
        <v>71</v>
      </c>
      <c r="B9" s="68"/>
      <c r="C9" s="69">
        <f>Pasiva!C15-Pasiva!B15</f>
        <v>7654</v>
      </c>
      <c r="D9" s="70">
        <f>Pasiva!D15-Pasiva!C15</f>
        <v>2242</v>
      </c>
      <c r="E9" s="71">
        <f>Pasiva!E15-Pasiva!D15</f>
        <v>3074.8542508493265</v>
      </c>
      <c r="F9" s="71">
        <f>Pasiva!F15-Pasiva!E15</f>
        <v>1656.9287738114508</v>
      </c>
      <c r="G9" s="71">
        <f>Pasiva!G15-Pasiva!F15</f>
        <v>1614.826050758813</v>
      </c>
      <c r="H9" s="70">
        <f>Pasiva!H15-Pasiva!G15</f>
        <v>3426.054280997232</v>
      </c>
    </row>
    <row r="10" spans="1:8" ht="15.75">
      <c r="A10" s="67" t="s">
        <v>72</v>
      </c>
      <c r="B10" s="72"/>
      <c r="C10" s="69">
        <f>-(Aktiva!C13-Aktiva!B13)</f>
        <v>-9341</v>
      </c>
      <c r="D10" s="70">
        <f>-(Aktiva!D13-Aktiva!C13)</f>
        <v>-3096</v>
      </c>
      <c r="E10" s="71">
        <f>-(Aktiva!E13-Aktiva!D13)</f>
        <v>-528.189707616446</v>
      </c>
      <c r="F10" s="71">
        <f>-(Aktiva!F13-Aktiva!E13)</f>
        <v>-1944.489158926015</v>
      </c>
      <c r="G10" s="71">
        <f>-(Aktiva!G13-Aktiva!F13)</f>
        <v>-1814.6743400619198</v>
      </c>
      <c r="H10" s="70">
        <f>-(Aktiva!H13-Aktiva!G13)</f>
        <v>-1917.9774769983705</v>
      </c>
    </row>
    <row r="11" spans="1:8" ht="15.75">
      <c r="A11" s="67" t="s">
        <v>73</v>
      </c>
      <c r="B11" s="73"/>
      <c r="C11" s="69">
        <f>-(Aktiva!C22-Aktiva!B22)</f>
        <v>0</v>
      </c>
      <c r="D11" s="70">
        <f>-(Aktiva!D22-Aktiva!C22)</f>
        <v>0</v>
      </c>
      <c r="E11" s="71">
        <f>-(Aktiva!E22-Aktiva!D22)</f>
        <v>0</v>
      </c>
      <c r="F11" s="71">
        <f>-(Aktiva!F22-Aktiva!E22)</f>
        <v>0</v>
      </c>
      <c r="G11" s="71">
        <f>-(Aktiva!G22-Aktiva!F22)</f>
        <v>0</v>
      </c>
      <c r="H11" s="70">
        <f>-(Aktiva!H22-Aktiva!G22)</f>
        <v>0</v>
      </c>
    </row>
    <row r="12" spans="1:8" ht="16.5" thickBot="1">
      <c r="A12" s="74" t="s">
        <v>74</v>
      </c>
      <c r="B12" s="75"/>
      <c r="C12" s="76">
        <f aca="true" t="shared" si="0" ref="C12:H12">SUM(C3:C11)</f>
        <v>8551.911199999999</v>
      </c>
      <c r="D12" s="77">
        <f t="shared" si="0"/>
        <v>6019.3608</v>
      </c>
      <c r="E12" s="78">
        <f t="shared" si="0"/>
        <v>18604.19688175343</v>
      </c>
      <c r="F12" s="78">
        <f t="shared" si="0"/>
        <v>14576.147701687747</v>
      </c>
      <c r="G12" s="78">
        <f t="shared" si="0"/>
        <v>16562.51608018577</v>
      </c>
      <c r="H12" s="77">
        <f t="shared" si="0"/>
        <v>25495.40025012388</v>
      </c>
    </row>
    <row r="13" spans="1:8" ht="15.75">
      <c r="A13" s="67" t="s">
        <v>75</v>
      </c>
      <c r="B13" s="68"/>
      <c r="C13" s="69">
        <f>-(Aktiva!C6-Aktiva!B6+C4)</f>
        <v>-9942</v>
      </c>
      <c r="D13" s="70">
        <f>-(Aktiva!D6-Aktiva!C6+D4)</f>
        <v>0</v>
      </c>
      <c r="E13" s="71">
        <f>-(Aktiva!E6-Aktiva!D6+E4)</f>
        <v>0</v>
      </c>
      <c r="F13" s="71">
        <f>-(Aktiva!F6-Aktiva!E6+F4)</f>
        <v>4336</v>
      </c>
      <c r="G13" s="71">
        <f>-(Aktiva!G6-Aktiva!F6+G4)</f>
        <v>-50000</v>
      </c>
      <c r="H13" s="70">
        <f>-(Aktiva!H6-Aktiva!G6+H4)</f>
        <v>-15625</v>
      </c>
    </row>
    <row r="14" spans="1:8" ht="15.75">
      <c r="A14" s="67" t="s">
        <v>76</v>
      </c>
      <c r="B14" s="68"/>
      <c r="C14" s="69">
        <f>-(Aktiva!C10-Aktiva!B10)</f>
        <v>0</v>
      </c>
      <c r="D14" s="70">
        <f>-(Aktiva!D10-Aktiva!C10)</f>
        <v>0</v>
      </c>
      <c r="E14" s="71">
        <f>-(Aktiva!E10-Aktiva!D10)</f>
        <v>0</v>
      </c>
      <c r="F14" s="71">
        <f>-(Aktiva!F10-Aktiva!E10)</f>
        <v>0</v>
      </c>
      <c r="G14" s="71">
        <f>-(Aktiva!G10-Aktiva!F10)</f>
        <v>0</v>
      </c>
      <c r="H14" s="70">
        <f>-(Aktiva!H10-Aktiva!G10)</f>
        <v>0</v>
      </c>
    </row>
    <row r="15" spans="1:8" ht="16.5" thickBot="1">
      <c r="A15" s="79" t="s">
        <v>77</v>
      </c>
      <c r="B15" s="80"/>
      <c r="C15" s="81">
        <f aca="true" t="shared" si="1" ref="C15:H15">C13+C14</f>
        <v>-9942</v>
      </c>
      <c r="D15" s="82">
        <f t="shared" si="1"/>
        <v>0</v>
      </c>
      <c r="E15" s="83">
        <f t="shared" si="1"/>
        <v>0</v>
      </c>
      <c r="F15" s="83">
        <f t="shared" si="1"/>
        <v>4336</v>
      </c>
      <c r="G15" s="83">
        <f t="shared" si="1"/>
        <v>-50000</v>
      </c>
      <c r="H15" s="82">
        <f t="shared" si="1"/>
        <v>-15625</v>
      </c>
    </row>
    <row r="16" spans="1:8" ht="15.75">
      <c r="A16" s="62" t="s">
        <v>78</v>
      </c>
      <c r="B16" s="63"/>
      <c r="C16" s="64">
        <f>Pasiva!C18-Pasiva!B18</f>
        <v>5534</v>
      </c>
      <c r="D16" s="65">
        <f>Pasiva!D18-Pasiva!C18</f>
        <v>2489</v>
      </c>
      <c r="E16" s="66">
        <f>Pasiva!E18-Pasiva!D18</f>
        <v>0</v>
      </c>
      <c r="F16" s="66">
        <f>Pasiva!F18-Pasiva!E18</f>
        <v>0</v>
      </c>
      <c r="G16" s="66">
        <f>Pasiva!G18-Pasiva!F18</f>
        <v>54000</v>
      </c>
      <c r="H16" s="65">
        <f>Pasiva!H18-Pasiva!G18</f>
        <v>0</v>
      </c>
    </row>
    <row r="17" spans="1:8" ht="15.75">
      <c r="A17" s="67" t="s">
        <v>79</v>
      </c>
      <c r="B17" s="68"/>
      <c r="C17" s="69">
        <f>Pasiva!C14-Pasiva!B14</f>
        <v>0</v>
      </c>
      <c r="D17" s="70">
        <f>Pasiva!D14-Pasiva!C14</f>
        <v>0</v>
      </c>
      <c r="E17" s="71">
        <f>Pasiva!E14-Pasiva!D14</f>
        <v>0</v>
      </c>
      <c r="F17" s="71">
        <f>Pasiva!F14-Pasiva!E14</f>
        <v>-13200</v>
      </c>
      <c r="G17" s="71">
        <f>Pasiva!G14-Pasiva!F14</f>
        <v>0</v>
      </c>
      <c r="H17" s="70">
        <f>Pasiva!H14-Pasiva!G14</f>
        <v>0</v>
      </c>
    </row>
    <row r="18" spans="1:8" ht="15.75">
      <c r="A18" s="67" t="s">
        <v>80</v>
      </c>
      <c r="B18" s="68"/>
      <c r="C18" s="69">
        <f>Pasiva!C6-Pasiva!B6+Pasiva!C7-Pasiva!B7</f>
        <v>0</v>
      </c>
      <c r="D18" s="70">
        <f>Pasiva!D6-Pasiva!C6+Pasiva!D7-Pasiva!C7</f>
        <v>0</v>
      </c>
      <c r="E18" s="71">
        <f>Pasiva!E6-Pasiva!D6+Pasiva!E7-Pasiva!D7</f>
        <v>0</v>
      </c>
      <c r="F18" s="71">
        <f>Pasiva!F6-Pasiva!E6+Pasiva!F7-Pasiva!E7</f>
        <v>0</v>
      </c>
      <c r="G18" s="71">
        <f>Pasiva!G6-Pasiva!F6+Pasiva!G7-Pasiva!F7</f>
        <v>0</v>
      </c>
      <c r="H18" s="70">
        <f>Pasiva!H6-Pasiva!G6+Pasiva!H7-Pasiva!G7</f>
        <v>0</v>
      </c>
    </row>
    <row r="19" spans="1:8" ht="15.75">
      <c r="A19" s="67" t="s">
        <v>81</v>
      </c>
      <c r="B19" s="68"/>
      <c r="C19" s="69">
        <f>-Výsledovka!B21</f>
        <v>-1960</v>
      </c>
      <c r="D19" s="70">
        <f>-Výsledovka!C21</f>
        <v>-5073</v>
      </c>
      <c r="E19" s="71">
        <f>-Výsledovka!D21</f>
        <v>-4120</v>
      </c>
      <c r="F19" s="71">
        <f>-Výsledovka!E21</f>
        <v>-3000</v>
      </c>
      <c r="G19" s="71">
        <f>-Výsledovka!F21</f>
        <v>-3000</v>
      </c>
      <c r="H19" s="70">
        <f>-Výsledovka!G21</f>
        <v>-3000</v>
      </c>
    </row>
    <row r="20" spans="1:8" ht="16.5" thickBot="1">
      <c r="A20" s="74" t="s">
        <v>82</v>
      </c>
      <c r="B20" s="84"/>
      <c r="C20" s="76">
        <f aca="true" t="shared" si="2" ref="C20:H20">SUM(C16:C19)</f>
        <v>3574</v>
      </c>
      <c r="D20" s="77">
        <f t="shared" si="2"/>
        <v>-2584</v>
      </c>
      <c r="E20" s="78">
        <f t="shared" si="2"/>
        <v>-4120</v>
      </c>
      <c r="F20" s="78">
        <f t="shared" si="2"/>
        <v>-16200</v>
      </c>
      <c r="G20" s="78">
        <f t="shared" si="2"/>
        <v>51000</v>
      </c>
      <c r="H20" s="77">
        <f t="shared" si="2"/>
        <v>-3000</v>
      </c>
    </row>
    <row r="21" spans="1:8" ht="16.5" thickBot="1">
      <c r="A21" s="74" t="s">
        <v>83</v>
      </c>
      <c r="B21" s="85"/>
      <c r="C21" s="76">
        <f aca="true" t="shared" si="3" ref="C21:H21">C12+C15+C20</f>
        <v>2183.9111999999986</v>
      </c>
      <c r="D21" s="77">
        <f t="shared" si="3"/>
        <v>3435.3608000000004</v>
      </c>
      <c r="E21" s="78">
        <f t="shared" si="3"/>
        <v>14484.196881753429</v>
      </c>
      <c r="F21" s="78">
        <f t="shared" si="3"/>
        <v>2712.147701687747</v>
      </c>
      <c r="G21" s="78">
        <f t="shared" si="3"/>
        <v>17562.51608018577</v>
      </c>
      <c r="H21" s="77">
        <f t="shared" si="3"/>
        <v>6870.400250123879</v>
      </c>
    </row>
    <row r="22" spans="1:8" ht="18">
      <c r="A22" s="41" t="s">
        <v>28</v>
      </c>
      <c r="B22" s="2"/>
      <c r="C22" s="2"/>
      <c r="D22" s="2"/>
      <c r="E22" s="2"/>
      <c r="F22" s="2"/>
      <c r="G22" s="2"/>
      <c r="H22" s="2"/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8" width="8.625" style="0" customWidth="1"/>
    <col min="9" max="9" width="1.37890625" style="0" customWidth="1"/>
    <col min="10" max="10" width="10.25390625" style="0" customWidth="1"/>
  </cols>
  <sheetData>
    <row r="1" spans="1:8" ht="15.75">
      <c r="A1" s="13" t="s">
        <v>87</v>
      </c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21.75" customHeight="1">
      <c r="A3" s="93" t="s">
        <v>88</v>
      </c>
      <c r="B3" s="4"/>
      <c r="C3" s="4"/>
      <c r="D3" s="4"/>
      <c r="E3" s="4"/>
      <c r="F3" s="4"/>
      <c r="G3" s="4"/>
      <c r="H3" s="4"/>
    </row>
    <row r="4" spans="1:9" ht="15">
      <c r="A4" s="108" t="s">
        <v>84</v>
      </c>
      <c r="B4" s="109"/>
      <c r="C4" s="109" t="s">
        <v>102</v>
      </c>
      <c r="D4" s="109"/>
      <c r="E4" s="92"/>
      <c r="F4" s="92"/>
      <c r="G4" s="92"/>
      <c r="H4" s="92"/>
      <c r="I4" s="87"/>
    </row>
    <row r="5" spans="1:9" ht="15">
      <c r="A5" s="108"/>
      <c r="B5" s="110"/>
      <c r="C5" s="109" t="s">
        <v>85</v>
      </c>
      <c r="D5" s="109"/>
      <c r="E5" s="92"/>
      <c r="F5" s="92"/>
      <c r="G5" s="92"/>
      <c r="H5" s="92"/>
      <c r="I5" s="87"/>
    </row>
    <row r="6" spans="1:9" ht="15">
      <c r="A6" s="108"/>
      <c r="B6" s="110"/>
      <c r="C6" s="109" t="s">
        <v>103</v>
      </c>
      <c r="D6" s="109"/>
      <c r="E6" s="92"/>
      <c r="F6" s="92"/>
      <c r="G6" s="92"/>
      <c r="H6" s="92"/>
      <c r="I6" s="87"/>
    </row>
    <row r="7" spans="1:9" ht="15">
      <c r="A7" s="108"/>
      <c r="B7" s="110"/>
      <c r="C7" s="109" t="s">
        <v>86</v>
      </c>
      <c r="D7" s="109"/>
      <c r="E7" s="92"/>
      <c r="F7" s="92"/>
      <c r="G7" s="92"/>
      <c r="H7" s="92"/>
      <c r="I7" s="87"/>
    </row>
    <row r="8" spans="1:9" ht="15">
      <c r="A8" s="108" t="s">
        <v>104</v>
      </c>
      <c r="B8" s="110"/>
      <c r="C8" s="109"/>
      <c r="D8" s="109"/>
      <c r="E8" s="92"/>
      <c r="F8" s="92"/>
      <c r="G8" s="92"/>
      <c r="H8" s="92"/>
      <c r="I8" s="87"/>
    </row>
    <row r="9" spans="1:9" ht="15">
      <c r="A9" s="108" t="s">
        <v>112</v>
      </c>
      <c r="B9" s="110"/>
      <c r="C9" s="109"/>
      <c r="D9" s="109"/>
      <c r="E9" s="92"/>
      <c r="F9" s="92"/>
      <c r="G9" s="92"/>
      <c r="H9" s="92"/>
      <c r="I9" s="87"/>
    </row>
    <row r="10" spans="1:9" ht="15">
      <c r="A10" s="92"/>
      <c r="B10" s="88"/>
      <c r="C10" s="88"/>
      <c r="D10" s="88"/>
      <c r="E10" s="88"/>
      <c r="F10" s="88"/>
      <c r="G10" s="88"/>
      <c r="H10" s="88"/>
      <c r="I10" s="87"/>
    </row>
    <row r="11" spans="1:8" ht="15.75">
      <c r="A11" s="86" t="s">
        <v>89</v>
      </c>
      <c r="B11" s="4"/>
      <c r="C11" s="4"/>
      <c r="D11" s="4"/>
      <c r="E11" s="4"/>
      <c r="F11" s="4"/>
      <c r="G11" s="4"/>
      <c r="H11" s="4"/>
    </row>
    <row r="12" spans="1:8" ht="15.75">
      <c r="A12" s="86"/>
      <c r="B12" s="4"/>
      <c r="C12" s="4"/>
      <c r="D12" s="4"/>
      <c r="E12" s="4"/>
      <c r="F12" s="4"/>
      <c r="G12" s="4"/>
      <c r="H12" s="4"/>
    </row>
    <row r="13" spans="1:8" ht="15.75">
      <c r="A13" s="96" t="s">
        <v>90</v>
      </c>
      <c r="B13" s="97">
        <v>0.12</v>
      </c>
      <c r="C13" s="4"/>
      <c r="D13" s="4"/>
      <c r="E13" s="4"/>
      <c r="F13" s="4"/>
      <c r="G13" s="4"/>
      <c r="H13" s="4"/>
    </row>
    <row r="14" spans="1:8" ht="15.75">
      <c r="A14" s="98" t="s">
        <v>91</v>
      </c>
      <c r="B14" s="100">
        <v>0.035</v>
      </c>
      <c r="C14" s="4"/>
      <c r="D14" s="4"/>
      <c r="E14" s="4"/>
      <c r="F14" s="4"/>
      <c r="G14" s="4"/>
      <c r="H14" s="4"/>
    </row>
    <row r="15" spans="1:8" ht="15.75">
      <c r="A15" s="99" t="s">
        <v>92</v>
      </c>
      <c r="B15" s="101">
        <v>0.25</v>
      </c>
      <c r="C15" s="95"/>
      <c r="D15" s="4"/>
      <c r="E15" s="4"/>
      <c r="F15" s="4"/>
      <c r="G15" s="4"/>
      <c r="H15" s="4"/>
    </row>
    <row r="16" spans="1:8" ht="15.75">
      <c r="A16" s="86"/>
      <c r="B16" s="4"/>
      <c r="C16" s="4"/>
      <c r="D16" s="4"/>
      <c r="E16" s="4"/>
      <c r="F16" s="4"/>
      <c r="G16" s="4"/>
      <c r="H16" s="4"/>
    </row>
    <row r="18" spans="1:7" ht="18">
      <c r="A18" s="41" t="s">
        <v>28</v>
      </c>
      <c r="B18" s="2"/>
      <c r="C18" s="2"/>
      <c r="D18" s="2"/>
      <c r="E18" s="2"/>
      <c r="F18" s="2"/>
      <c r="G18" s="2"/>
    </row>
  </sheetData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1.00390625" style="0" customWidth="1"/>
    <col min="2" max="2" width="11.00390625" style="0" customWidth="1"/>
    <col min="3" max="5" width="10.25390625" style="0" customWidth="1"/>
  </cols>
  <sheetData>
    <row r="1" spans="1:2" ht="15.75">
      <c r="A1" s="48" t="s">
        <v>111</v>
      </c>
      <c r="B1" s="4"/>
    </row>
    <row r="2" spans="1:2" ht="15.75">
      <c r="A2" s="4"/>
      <c r="B2" s="4"/>
    </row>
    <row r="3" spans="1:7" ht="15.75">
      <c r="A3" s="89" t="s">
        <v>106</v>
      </c>
      <c r="B3" s="120">
        <f>Aktiva!D3</f>
        <v>2007</v>
      </c>
      <c r="C3" s="121">
        <f>Aktiva!E3</f>
        <v>2008</v>
      </c>
      <c r="D3" s="121">
        <f>Aktiva!F3</f>
        <v>2009</v>
      </c>
      <c r="E3" s="121">
        <f>Aktiva!G3</f>
        <v>2010</v>
      </c>
      <c r="F3" s="121">
        <f>Aktiva!H3</f>
        <v>2011</v>
      </c>
      <c r="G3" s="87"/>
    </row>
    <row r="4" spans="1:7" ht="15.75">
      <c r="A4" s="113" t="s">
        <v>107</v>
      </c>
      <c r="B4" s="116">
        <v>70070</v>
      </c>
      <c r="C4" s="116">
        <v>62997.51271824657</v>
      </c>
      <c r="D4" s="116">
        <v>59573.75701655882</v>
      </c>
      <c r="E4" s="116">
        <v>99999.87533637305</v>
      </c>
      <c r="F4" s="116">
        <v>106264.62948624918</v>
      </c>
      <c r="G4" s="110"/>
    </row>
    <row r="5" spans="1:7" ht="15.75">
      <c r="A5" s="114" t="s">
        <v>108</v>
      </c>
      <c r="B5" s="115"/>
      <c r="C5" s="116">
        <v>20641.527281753428</v>
      </c>
      <c r="D5" s="116">
        <v>16641.355701687753</v>
      </c>
      <c r="E5" s="116">
        <v>-31878.99831981422</v>
      </c>
      <c r="F5" s="116">
        <v>14053.285850123866</v>
      </c>
      <c r="G5" s="112"/>
    </row>
    <row r="6" spans="1:7" ht="15.75">
      <c r="A6" s="14"/>
      <c r="B6" s="117"/>
      <c r="C6" s="112"/>
      <c r="D6" s="112"/>
      <c r="E6" s="112"/>
      <c r="F6" s="112"/>
      <c r="G6" s="112"/>
    </row>
    <row r="7" spans="1:7" ht="15.75">
      <c r="A7" s="124" t="s">
        <v>121</v>
      </c>
      <c r="B7" s="4"/>
      <c r="C7" s="112"/>
      <c r="D7" s="112"/>
      <c r="E7" s="112"/>
      <c r="F7" s="112"/>
      <c r="G7" s="112"/>
    </row>
    <row r="8" spans="1:6" ht="15.75">
      <c r="A8" s="118" t="s">
        <v>110</v>
      </c>
      <c r="B8" s="119">
        <v>185551.51235294118</v>
      </c>
      <c r="C8" s="112"/>
      <c r="D8" s="112"/>
      <c r="E8" s="112"/>
      <c r="F8" s="112"/>
    </row>
    <row r="9" spans="1:6" ht="15.75">
      <c r="A9" s="118" t="s">
        <v>109</v>
      </c>
      <c r="B9" s="119">
        <v>105631.7692228037</v>
      </c>
      <c r="C9" s="112"/>
      <c r="D9" s="112"/>
      <c r="E9" s="112"/>
      <c r="F9" s="112"/>
    </row>
    <row r="10" spans="1:6" ht="15.75">
      <c r="A10" s="125"/>
      <c r="B10" s="126"/>
      <c r="C10" s="112"/>
      <c r="D10" s="112"/>
      <c r="E10" s="112"/>
      <c r="F10" s="112"/>
    </row>
    <row r="11" spans="1:6" ht="15.75">
      <c r="A11" s="124" t="s">
        <v>122</v>
      </c>
      <c r="B11" s="126"/>
      <c r="C11" s="112"/>
      <c r="D11" s="112"/>
      <c r="E11" s="112"/>
      <c r="F11" s="112"/>
    </row>
    <row r="12" spans="1:6" ht="15.75">
      <c r="A12" s="118" t="s">
        <v>110</v>
      </c>
      <c r="B12" s="119">
        <v>171119.42182209648</v>
      </c>
      <c r="C12" s="112"/>
      <c r="D12" s="112"/>
      <c r="E12" s="112"/>
      <c r="F12" s="112"/>
    </row>
    <row r="13" spans="1:6" ht="15.75">
      <c r="A13" s="118" t="s">
        <v>109</v>
      </c>
      <c r="B13" s="119">
        <v>96459.91478127672</v>
      </c>
      <c r="C13" s="112"/>
      <c r="D13" s="112"/>
      <c r="E13" s="112"/>
      <c r="F13" s="112"/>
    </row>
    <row r="14" spans="1:6" ht="15.75">
      <c r="A14" s="125"/>
      <c r="B14" s="126"/>
      <c r="C14" s="112"/>
      <c r="D14" s="112"/>
      <c r="E14" s="112"/>
      <c r="F14" s="112"/>
    </row>
    <row r="15" spans="1:6" ht="15.75">
      <c r="A15" s="124" t="s">
        <v>123</v>
      </c>
      <c r="B15" s="126"/>
      <c r="C15" s="112"/>
      <c r="D15" s="112"/>
      <c r="E15" s="112"/>
      <c r="F15" s="112"/>
    </row>
    <row r="16" spans="1:6" ht="15.75">
      <c r="A16" s="118" t="s">
        <v>124</v>
      </c>
      <c r="B16" s="119">
        <v>15771.87855</v>
      </c>
      <c r="C16" s="112"/>
      <c r="D16" s="112"/>
      <c r="E16" s="112"/>
      <c r="F16" s="112"/>
    </row>
    <row r="17" spans="1:6" ht="15.75">
      <c r="A17" s="118" t="s">
        <v>110</v>
      </c>
      <c r="B17" s="119">
        <v>185551.51235294118</v>
      </c>
      <c r="C17" s="112"/>
      <c r="D17" s="112"/>
      <c r="E17" s="112"/>
      <c r="F17" s="112"/>
    </row>
    <row r="18" spans="1:6" ht="15.75">
      <c r="A18" s="118" t="s">
        <v>109</v>
      </c>
      <c r="B18" s="119">
        <v>105631.7692228037</v>
      </c>
      <c r="C18" s="112"/>
      <c r="D18" s="112"/>
      <c r="E18" s="112"/>
      <c r="F18" s="112"/>
    </row>
    <row r="19" spans="1:2" ht="16.5" customHeight="1">
      <c r="A19" s="87"/>
      <c r="B19" s="87"/>
    </row>
    <row r="20" spans="1:6" ht="18">
      <c r="A20" s="127" t="s">
        <v>28</v>
      </c>
      <c r="B20" s="127"/>
      <c r="C20" s="127"/>
      <c r="D20" s="127"/>
      <c r="E20" s="127"/>
      <c r="F20" s="127"/>
    </row>
  </sheetData>
  <mergeCells count="1">
    <mergeCell ref="A20:F20"/>
  </mergeCells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Ocenění</dc:title>
  <dc:subject>Oceňování podniku 1</dc:subject>
  <dc:creator>VSE Praha</dc:creator>
  <cp:keywords/>
  <dc:description/>
  <cp:lastModifiedBy>Mařík Miloš</cp:lastModifiedBy>
  <dcterms:created xsi:type="dcterms:W3CDTF">2004-12-12T17:02:07Z</dcterms:created>
  <dcterms:modified xsi:type="dcterms:W3CDTF">2008-01-02T20:46:57Z</dcterms:modified>
  <cp:category/>
  <cp:version/>
  <cp:contentType/>
  <cp:contentStatus/>
</cp:coreProperties>
</file>