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5_cviceni/"/>
    </mc:Choice>
  </mc:AlternateContent>
  <xr:revisionPtr revIDLastSave="61" documentId="8_{BB082A43-7E9C-E84D-BD5C-6137CF2C51C6}" xr6:coauthVersionLast="47" xr6:coauthVersionMax="47" xr10:uidLastSave="{C571B1C1-6D2D-554D-871D-9FDE5059A706}"/>
  <bookViews>
    <workbookView xWindow="1280" yWindow="500" windowWidth="28800" windowHeight="16360" xr2:uid="{00000000-000D-0000-FFFF-FFFF00000000}"/>
  </bookViews>
  <sheets>
    <sheet name="Úkol 1d) peer group" sheetId="18" r:id="rId1"/>
    <sheet name="ALZA.cz_data set" sheetId="5" r:id="rId2"/>
    <sheet name="Alza_Vypočet ziskových úrovní" sheetId="9" r:id="rId3"/>
    <sheet name="Ukazatele likvidity" sheetId="17" r:id="rId4"/>
    <sheet name="List1" sheetId="15" r:id="rId5"/>
    <sheet name="List2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8" l="1"/>
  <c r="H7" i="18"/>
  <c r="I7" i="18"/>
  <c r="J7" i="18"/>
  <c r="K7" i="18"/>
  <c r="I10" i="18"/>
  <c r="G11" i="18"/>
  <c r="G10" i="18" s="1"/>
  <c r="H11" i="18"/>
  <c r="H10" i="18" s="1"/>
  <c r="I11" i="18"/>
  <c r="J11" i="18"/>
  <c r="J10" i="18" s="1"/>
  <c r="K11" i="18"/>
  <c r="K10" i="18" s="1"/>
  <c r="G13" i="18"/>
  <c r="H13" i="18"/>
  <c r="I13" i="18"/>
  <c r="J13" i="18"/>
  <c r="K13" i="18"/>
  <c r="P18" i="18"/>
  <c r="Q18" i="18"/>
  <c r="R18" i="18"/>
  <c r="S18" i="18"/>
  <c r="T18" i="18"/>
  <c r="U18" i="18"/>
  <c r="V18" i="18"/>
  <c r="Y18" i="18"/>
  <c r="Z18" i="18"/>
  <c r="AA18" i="18"/>
  <c r="AB18" i="18"/>
  <c r="AC18" i="18"/>
  <c r="AD18" i="18"/>
  <c r="AE18" i="18"/>
  <c r="AF18" i="18"/>
  <c r="O19" i="18"/>
  <c r="P19" i="18"/>
  <c r="Q19" i="18"/>
  <c r="R19" i="18"/>
  <c r="S19" i="18"/>
  <c r="T19" i="18"/>
  <c r="U19" i="18"/>
  <c r="V19" i="18"/>
  <c r="Y19" i="18"/>
  <c r="Z19" i="18"/>
  <c r="AA19" i="18"/>
  <c r="AB19" i="18"/>
  <c r="AC19" i="18"/>
  <c r="AD19" i="18"/>
  <c r="AE19" i="18"/>
  <c r="AF19" i="18"/>
  <c r="O20" i="18"/>
  <c r="P20" i="18"/>
  <c r="Q20" i="18"/>
  <c r="R20" i="18"/>
  <c r="S20" i="18"/>
  <c r="T20" i="18"/>
  <c r="U20" i="18"/>
  <c r="V20" i="18"/>
  <c r="Y20" i="18"/>
  <c r="Z20" i="18"/>
  <c r="AA20" i="18"/>
  <c r="AB20" i="18"/>
  <c r="AC20" i="18"/>
  <c r="AD20" i="18"/>
  <c r="AE20" i="18"/>
  <c r="AF20" i="18"/>
  <c r="O21" i="18"/>
  <c r="P21" i="18"/>
  <c r="Q21" i="18"/>
  <c r="R21" i="18"/>
  <c r="S21" i="18"/>
  <c r="T21" i="18"/>
  <c r="U21" i="18"/>
  <c r="V21" i="18"/>
  <c r="Y21" i="18"/>
  <c r="Z21" i="18"/>
  <c r="AA21" i="18"/>
  <c r="AB21" i="18"/>
  <c r="AC21" i="18"/>
  <c r="AD21" i="18"/>
  <c r="AE21" i="18"/>
  <c r="AF21" i="18"/>
  <c r="O22" i="18"/>
  <c r="P22" i="18"/>
  <c r="Q22" i="18"/>
  <c r="R22" i="18"/>
  <c r="S22" i="18"/>
  <c r="T22" i="18"/>
  <c r="U22" i="18"/>
  <c r="V22" i="18"/>
  <c r="Y22" i="18"/>
  <c r="Z22" i="18"/>
  <c r="AA22" i="18"/>
  <c r="AB22" i="18"/>
  <c r="AC22" i="18"/>
  <c r="AD22" i="18"/>
  <c r="AE22" i="18"/>
  <c r="AF22" i="18"/>
  <c r="O23" i="18"/>
  <c r="P23" i="18"/>
  <c r="Q23" i="18"/>
  <c r="R23" i="18"/>
  <c r="S23" i="18"/>
  <c r="T23" i="18"/>
  <c r="U23" i="18"/>
  <c r="V23" i="18"/>
  <c r="Y23" i="18"/>
  <c r="Z23" i="18"/>
  <c r="AA23" i="18"/>
  <c r="AB23" i="18"/>
  <c r="AC23" i="18"/>
  <c r="AD23" i="18"/>
  <c r="AE23" i="18"/>
  <c r="AF23" i="18"/>
  <c r="O24" i="18"/>
  <c r="P24" i="18"/>
  <c r="Q24" i="18"/>
  <c r="R24" i="18"/>
  <c r="S24" i="18"/>
  <c r="T24" i="18"/>
  <c r="U24" i="18"/>
  <c r="V24" i="18"/>
  <c r="Y24" i="18"/>
  <c r="Z24" i="18"/>
  <c r="AA24" i="18"/>
  <c r="AB24" i="18"/>
  <c r="AC24" i="18"/>
  <c r="AD24" i="18"/>
  <c r="AE24" i="18"/>
  <c r="AF24" i="18"/>
  <c r="O25" i="18"/>
  <c r="P25" i="18"/>
  <c r="Q25" i="18"/>
  <c r="R25" i="18"/>
  <c r="S25" i="18"/>
  <c r="T25" i="18"/>
  <c r="U25" i="18"/>
  <c r="V25" i="18"/>
  <c r="Y25" i="18"/>
  <c r="Z25" i="18"/>
  <c r="AA25" i="18"/>
  <c r="AB25" i="18"/>
  <c r="AC25" i="18"/>
  <c r="AD25" i="18"/>
  <c r="AE25" i="18"/>
  <c r="AF25" i="18"/>
  <c r="O26" i="18"/>
  <c r="P26" i="18"/>
  <c r="Q26" i="18"/>
  <c r="R26" i="18"/>
  <c r="S26" i="18"/>
  <c r="T26" i="18"/>
  <c r="U26" i="18"/>
  <c r="V26" i="18"/>
  <c r="Y26" i="18"/>
  <c r="Z26" i="18"/>
  <c r="AA26" i="18"/>
  <c r="AB26" i="18"/>
  <c r="AC26" i="18"/>
  <c r="AD26" i="18"/>
  <c r="AE26" i="18"/>
  <c r="AF26" i="18"/>
  <c r="O27" i="18"/>
  <c r="P27" i="18"/>
  <c r="Q27" i="18"/>
  <c r="R27" i="18"/>
  <c r="S27" i="18"/>
  <c r="T27" i="18"/>
  <c r="U27" i="18"/>
  <c r="V27" i="18"/>
  <c r="Y27" i="18"/>
  <c r="Z27" i="18"/>
  <c r="AA27" i="18"/>
  <c r="AB27" i="18"/>
  <c r="AC27" i="18"/>
  <c r="AD27" i="18"/>
  <c r="AE27" i="18"/>
  <c r="AF27" i="18"/>
  <c r="O28" i="18"/>
  <c r="P28" i="18"/>
  <c r="Q28" i="18"/>
  <c r="R28" i="18"/>
  <c r="S28" i="18"/>
  <c r="T28" i="18"/>
  <c r="U28" i="18"/>
  <c r="V28" i="18"/>
  <c r="Y28" i="18"/>
  <c r="Z28" i="18"/>
  <c r="AA28" i="18"/>
  <c r="AB28" i="18"/>
  <c r="AC28" i="18"/>
  <c r="AD28" i="18"/>
  <c r="AE28" i="18"/>
  <c r="AF28" i="18"/>
  <c r="O29" i="18"/>
  <c r="P29" i="18"/>
  <c r="Q29" i="18"/>
  <c r="R29" i="18"/>
  <c r="S29" i="18"/>
  <c r="T29" i="18"/>
  <c r="U29" i="18"/>
  <c r="V29" i="18"/>
  <c r="Y29" i="18"/>
  <c r="Z29" i="18"/>
  <c r="AA29" i="18"/>
  <c r="AB29" i="18"/>
  <c r="AC29" i="18"/>
  <c r="AD29" i="18"/>
  <c r="AE29" i="18"/>
  <c r="AF29" i="18"/>
  <c r="E37" i="18"/>
  <c r="F37" i="18"/>
  <c r="G37" i="18"/>
  <c r="H37" i="18"/>
  <c r="I37" i="18"/>
  <c r="J37" i="18"/>
  <c r="K37" i="18"/>
  <c r="E40" i="18"/>
  <c r="F40" i="18"/>
  <c r="I40" i="18"/>
  <c r="J40" i="18"/>
  <c r="E41" i="18"/>
  <c r="F41" i="18"/>
  <c r="G41" i="18"/>
  <c r="G40" i="18" s="1"/>
  <c r="H41" i="18"/>
  <c r="H40" i="18" s="1"/>
  <c r="I41" i="18"/>
  <c r="J41" i="18"/>
  <c r="K41" i="18"/>
  <c r="K40" i="18" s="1"/>
  <c r="E43" i="18"/>
  <c r="F43" i="18"/>
  <c r="G43" i="18"/>
  <c r="H43" i="18"/>
  <c r="I43" i="18"/>
  <c r="J43" i="18"/>
  <c r="K43" i="18"/>
  <c r="G46" i="18"/>
  <c r="E68" i="18"/>
  <c r="F68" i="18"/>
  <c r="G68" i="18"/>
  <c r="H68" i="18"/>
  <c r="I68" i="18"/>
  <c r="J68" i="18"/>
  <c r="K68" i="18"/>
  <c r="E71" i="18"/>
  <c r="H71" i="18"/>
  <c r="I71" i="18"/>
  <c r="E72" i="18"/>
  <c r="F72" i="18"/>
  <c r="F71" i="18" s="1"/>
  <c r="G72" i="18"/>
  <c r="G71" i="18" s="1"/>
  <c r="H72" i="18"/>
  <c r="I72" i="18"/>
  <c r="J72" i="18"/>
  <c r="J71" i="18" s="1"/>
  <c r="K72" i="18"/>
  <c r="K71" i="18" s="1"/>
  <c r="E74" i="18"/>
  <c r="F74" i="18"/>
  <c r="G74" i="18"/>
  <c r="H74" i="18"/>
  <c r="J74" i="18"/>
  <c r="K74" i="18"/>
  <c r="H1" i="17" a="1"/>
  <c r="H1" i="17" s="1"/>
  <c r="G1" i="17" a="1"/>
  <c r="G1" i="17" s="1"/>
  <c r="F1" i="17" a="1"/>
  <c r="F1" i="17" s="1"/>
  <c r="E1" i="17" a="1"/>
  <c r="E1" i="17" s="1"/>
  <c r="D1" i="17" a="1"/>
  <c r="D1" i="17" s="1"/>
  <c r="C1" i="17" a="1"/>
  <c r="C1" i="17" s="1"/>
  <c r="B1" i="17" a="1"/>
  <c r="B1" i="17" s="1"/>
  <c r="C80" i="9"/>
  <c r="D80" i="9"/>
  <c r="E80" i="9"/>
  <c r="F80" i="9"/>
  <c r="G80" i="9"/>
  <c r="H80" i="9"/>
  <c r="B80" i="9"/>
  <c r="C52" i="9"/>
  <c r="D52" i="9"/>
  <c r="E52" i="9"/>
  <c r="F52" i="9"/>
  <c r="G52" i="9"/>
  <c r="H52" i="9"/>
  <c r="C50" i="9"/>
  <c r="D50" i="9"/>
  <c r="E50" i="9"/>
  <c r="E81" i="9" s="1"/>
  <c r="F50" i="9"/>
  <c r="G50" i="9"/>
  <c r="H50" i="9"/>
  <c r="B52" i="9"/>
  <c r="B50" i="9"/>
  <c r="C65" i="9"/>
  <c r="C48" i="9" s="1"/>
  <c r="D65" i="9"/>
  <c r="D48" i="9" s="1"/>
  <c r="E65" i="9"/>
  <c r="E48" i="9" s="1"/>
  <c r="F65" i="9"/>
  <c r="F48" i="9" s="1"/>
  <c r="G65" i="9"/>
  <c r="G48" i="9" s="1"/>
  <c r="H65" i="9"/>
  <c r="H48" i="9" s="1"/>
  <c r="B65" i="9"/>
  <c r="B48" i="9" s="1"/>
  <c r="H57" i="9"/>
  <c r="G57" i="9"/>
  <c r="F57" i="9"/>
  <c r="E57" i="9"/>
  <c r="D57" i="9"/>
  <c r="C57" i="9"/>
  <c r="B57" i="9"/>
  <c r="F56" i="9"/>
  <c r="E56" i="9"/>
  <c r="D56" i="9"/>
  <c r="C56" i="9"/>
  <c r="B56" i="9"/>
  <c r="E54" i="9"/>
  <c r="D54" i="9"/>
  <c r="C54" i="9"/>
  <c r="B54" i="9"/>
  <c r="H51" i="9"/>
  <c r="G51" i="9"/>
  <c r="E51" i="9"/>
  <c r="H44" i="9"/>
  <c r="H81" i="9" s="1"/>
  <c r="G44" i="9"/>
  <c r="G81" i="9" s="1"/>
  <c r="F44" i="9"/>
  <c r="F53" i="9" s="1"/>
  <c r="E44" i="9"/>
  <c r="D44" i="9"/>
  <c r="D53" i="9" s="1"/>
  <c r="C44" i="9"/>
  <c r="C53" i="9" s="1"/>
  <c r="B44" i="9"/>
  <c r="B53" i="9" s="1"/>
  <c r="E43" i="9"/>
  <c r="H30" i="9"/>
  <c r="G30" i="9"/>
  <c r="F30" i="9"/>
  <c r="E30" i="9"/>
  <c r="D30" i="9"/>
  <c r="C30" i="9"/>
  <c r="B30" i="9"/>
  <c r="H26" i="9"/>
  <c r="G26" i="9"/>
  <c r="F26" i="9"/>
  <c r="E26" i="9"/>
  <c r="D26" i="9"/>
  <c r="C26" i="9"/>
  <c r="B26" i="9"/>
  <c r="C20" i="9"/>
  <c r="B20" i="9"/>
  <c r="G15" i="9"/>
  <c r="G9" i="9" s="1"/>
  <c r="G13" i="9"/>
  <c r="F13" i="9"/>
  <c r="E13" i="9"/>
  <c r="D13" i="9"/>
  <c r="C13" i="9"/>
  <c r="B13" i="9"/>
  <c r="H10" i="9"/>
  <c r="H13" i="9" s="1"/>
  <c r="F9" i="9"/>
  <c r="E9" i="9"/>
  <c r="D9" i="9"/>
  <c r="C9" i="9"/>
  <c r="B9" i="9"/>
  <c r="H5" i="9"/>
  <c r="H18" i="9" s="1"/>
  <c r="G5" i="9"/>
  <c r="F5" i="9"/>
  <c r="E5" i="9"/>
  <c r="D5" i="9"/>
  <c r="C5" i="9"/>
  <c r="B5" i="9"/>
  <c r="C54" i="5"/>
  <c r="B54" i="5"/>
  <c r="C53" i="5"/>
  <c r="B53" i="5"/>
  <c r="C51" i="5"/>
  <c r="B51" i="5"/>
  <c r="G44" i="5"/>
  <c r="H44" i="5"/>
  <c r="F44" i="5"/>
  <c r="F50" i="5" s="1"/>
  <c r="E44" i="5"/>
  <c r="D44" i="5"/>
  <c r="D50" i="5" s="1"/>
  <c r="B44" i="5"/>
  <c r="B50" i="5" s="1"/>
  <c r="C44" i="5"/>
  <c r="C50" i="5" s="1"/>
  <c r="C30" i="5"/>
  <c r="D30" i="5"/>
  <c r="E30" i="5"/>
  <c r="F30" i="5"/>
  <c r="G30" i="5"/>
  <c r="H30" i="5"/>
  <c r="B30" i="5"/>
  <c r="B26" i="5"/>
  <c r="C26" i="5"/>
  <c r="D26" i="5"/>
  <c r="E26" i="5"/>
  <c r="F26" i="5"/>
  <c r="G26" i="5"/>
  <c r="H26" i="5"/>
  <c r="B20" i="5"/>
  <c r="C20" i="5"/>
  <c r="C13" i="5"/>
  <c r="D13" i="5"/>
  <c r="E13" i="5"/>
  <c r="F13" i="5"/>
  <c r="G13" i="5"/>
  <c r="B13" i="5"/>
  <c r="B9" i="5"/>
  <c r="C9" i="5"/>
  <c r="B5" i="5"/>
  <c r="C5" i="5"/>
  <c r="B34" i="9" l="1"/>
  <c r="E82" i="9"/>
  <c r="E83" i="9" s="1"/>
  <c r="E84" i="9" s="1"/>
  <c r="D81" i="9"/>
  <c r="C81" i="9"/>
  <c r="G82" i="9"/>
  <c r="G83" i="9" s="1"/>
  <c r="G84" i="9" s="1"/>
  <c r="F81" i="9"/>
  <c r="H82" i="9"/>
  <c r="H83" i="9" s="1"/>
  <c r="H84" i="9" s="1"/>
  <c r="B81" i="9"/>
  <c r="B82" i="9"/>
  <c r="B83" i="9" s="1"/>
  <c r="B84" i="9" s="1"/>
  <c r="F82" i="9"/>
  <c r="F83" i="9" s="1"/>
  <c r="F84" i="9" s="1"/>
  <c r="D82" i="9"/>
  <c r="D83" i="9" s="1"/>
  <c r="D84" i="9" s="1"/>
  <c r="C82" i="9"/>
  <c r="C83" i="9" s="1"/>
  <c r="C84" i="9" s="1"/>
  <c r="E53" i="9"/>
  <c r="E58" i="9" s="1"/>
  <c r="E60" i="9" s="1"/>
  <c r="E25" i="9" s="1"/>
  <c r="E20" i="9" s="1"/>
  <c r="E34" i="9" s="1"/>
  <c r="C34" i="9"/>
  <c r="B18" i="9"/>
  <c r="F58" i="9"/>
  <c r="F60" i="9" s="1"/>
  <c r="F25" i="9" s="1"/>
  <c r="F20" i="9" s="1"/>
  <c r="F34" i="9" s="1"/>
  <c r="G53" i="9"/>
  <c r="G58" i="9" s="1"/>
  <c r="G60" i="9" s="1"/>
  <c r="G25" i="9" s="1"/>
  <c r="G20" i="9" s="1"/>
  <c r="G34" i="9" s="1"/>
  <c r="H53" i="9"/>
  <c r="H58" i="9" s="1"/>
  <c r="H60" i="9" s="1"/>
  <c r="H25" i="9" s="1"/>
  <c r="H20" i="9" s="1"/>
  <c r="H34" i="9" s="1"/>
  <c r="C55" i="5"/>
  <c r="C57" i="5" s="1"/>
  <c r="B55" i="5"/>
  <c r="C58" i="9"/>
  <c r="C60" i="9" s="1"/>
  <c r="G18" i="9"/>
  <c r="B58" i="9"/>
  <c r="B60" i="9" s="1"/>
  <c r="F18" i="9"/>
  <c r="D18" i="9"/>
  <c r="D58" i="9"/>
  <c r="D60" i="9" s="1"/>
  <c r="D25" i="9" s="1"/>
  <c r="D20" i="9" s="1"/>
  <c r="D34" i="9" s="1"/>
  <c r="C18" i="9"/>
  <c r="E18" i="9"/>
  <c r="B57" i="5"/>
  <c r="B34" i="5"/>
  <c r="C34" i="5"/>
  <c r="C18" i="5"/>
  <c r="B18" i="5"/>
  <c r="H10" i="5" l="1"/>
  <c r="H13" i="5" s="1"/>
  <c r="F9" i="5"/>
  <c r="D51" i="5"/>
  <c r="D54" i="5"/>
  <c r="D53" i="5"/>
  <c r="D9" i="5"/>
  <c r="D5" i="5"/>
  <c r="D55" i="5" l="1"/>
  <c r="D18" i="5"/>
  <c r="D57" i="5"/>
  <c r="G54" i="5"/>
  <c r="D25" i="5" l="1"/>
  <c r="D20" i="5" s="1"/>
  <c r="D34" i="5" s="1"/>
  <c r="E54" i="5"/>
  <c r="E53" i="5"/>
  <c r="E51" i="5"/>
  <c r="E49" i="5"/>
  <c r="E43" i="5"/>
  <c r="E9" i="5"/>
  <c r="E5" i="5"/>
  <c r="F53" i="5"/>
  <c r="F54" i="5"/>
  <c r="H54" i="5"/>
  <c r="F5" i="5"/>
  <c r="F18" i="5" s="1"/>
  <c r="G5" i="5"/>
  <c r="E50" i="5" l="1"/>
  <c r="F55" i="5"/>
  <c r="E55" i="5"/>
  <c r="E18" i="5"/>
  <c r="H49" i="5"/>
  <c r="G49" i="5"/>
  <c r="G50" i="5" s="1"/>
  <c r="G15" i="5"/>
  <c r="H5" i="5"/>
  <c r="H18" i="5" s="1"/>
  <c r="H50" i="5" l="1"/>
  <c r="H55" i="5" s="1"/>
  <c r="H57" i="5" s="1"/>
  <c r="G9" i="5"/>
  <c r="G18" i="5" s="1"/>
  <c r="E57" i="5"/>
  <c r="G55" i="5"/>
  <c r="F57" i="5"/>
  <c r="F25" i="5" l="1"/>
  <c r="F20" i="5" s="1"/>
  <c r="G57" i="5"/>
  <c r="E25" i="5"/>
  <c r="E20" i="5" s="1"/>
  <c r="H25" i="5"/>
  <c r="H20" i="5" s="1"/>
  <c r="F34" i="5" l="1"/>
  <c r="H34" i="5"/>
  <c r="E34" i="5"/>
  <c r="G25" i="5"/>
  <c r="G20" i="5" s="1"/>
  <c r="G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Brabenec</author>
  </authors>
  <commentList>
    <comment ref="A48" authorId="0" shapeId="0" xr:uid="{B95A3BEF-79DF-9C4C-A8BC-CCEEC53248AF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Při agregování se obvykle dopouštíme značného zjednodušování. Některé položky "ostatních" výnosů mohou patřit mezi ty položky, které by měly ovlivnovat ukazatele EBITDA.</t>
        </r>
      </text>
    </comment>
    <comment ref="A49" authorId="0" shapeId="0" xr:uid="{6180F89D-0ED6-1840-9378-4A0466DFC207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Při agregování se obvykle dopouštíme značného zjednodušování. Některé položky "ostatních" nákladů mohou patřit mezi ty položky, které by měly ovlivnovat ukazatele EBITDA, resp. mohou být nepeněžními náklady - např. změna stavu rezerv, opravné položky v provozní oblasti aj.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Brabenec</author>
  </authors>
  <commentList>
    <comment ref="A49" authorId="0" shapeId="0" xr:uid="{2FEC4AAD-E725-9645-82FB-80DBFAE5DE19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Při agregování se obvykle dopouštíme značného zjednodušování. Některé položky "ostatních" výnosů mohou patřit mezi ty položky, které by měly ovlivnovat ukazatele EBITDA.</t>
        </r>
      </text>
    </comment>
    <comment ref="A51" authorId="0" shapeId="0" xr:uid="{8278B42C-4DF7-3941-93E0-8A42678B18BF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Při agregování se obvykle dopouštíme značného zjednodušování. Některé položky "ostatních" nákladů mohou patřit mezi ty položky, které by měly ovlivnovat ukazatele EBITDA, resp. mohou být nepeněžními náklady - např. změna stavu rezerv, opravné položky v provozní oblasti aj.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<sst xmlns="http://schemas.openxmlformats.org/spreadsheetml/2006/main" count="273" uniqueCount="117">
  <si>
    <t>Aktiva celkem</t>
  </si>
  <si>
    <t>Odpisy (Odp)</t>
  </si>
  <si>
    <t xml:space="preserve">Ostatní výnosy </t>
  </si>
  <si>
    <t>Daň z príjmu (D)</t>
  </si>
  <si>
    <r>
      <t xml:space="preserve">AGREGOVANÁ ROZVAHA (tis. Kč) </t>
    </r>
    <r>
      <rPr>
        <b/>
        <sz val="11"/>
        <color rgb="FFC00000"/>
        <rFont val="Trebuchet MS"/>
        <family val="2"/>
      </rPr>
      <t>ALZA a.s.</t>
    </r>
  </si>
  <si>
    <r>
      <t xml:space="preserve">AGREGOVANÝ VÝKAZ ZISKU A ZTRÁTY (tis.Kč) </t>
    </r>
    <r>
      <rPr>
        <b/>
        <sz val="11"/>
        <color theme="5" tint="-0.249977111117893"/>
        <rFont val="Trebuchet MS"/>
        <family val="2"/>
      </rPr>
      <t>ALZA a.s.</t>
    </r>
  </si>
  <si>
    <t>Ostatní finanční náklady</t>
  </si>
  <si>
    <t>Ostatní finanční výnosy</t>
  </si>
  <si>
    <t>Výnosy z dl. fin. majetku</t>
  </si>
  <si>
    <t>EBITDA</t>
  </si>
  <si>
    <t>EBIT</t>
  </si>
  <si>
    <t>EBT</t>
  </si>
  <si>
    <t>EAT</t>
  </si>
  <si>
    <t>Nákladové úroky</t>
  </si>
  <si>
    <t>Rezervy</t>
  </si>
  <si>
    <t>Krátkodobé závazky</t>
  </si>
  <si>
    <t>Pasiva celkem</t>
  </si>
  <si>
    <t>Náklady vynaložené na prodané zboží</t>
  </si>
  <si>
    <t>Tŕžby za prodané zboží</t>
  </si>
  <si>
    <r>
      <t xml:space="preserve">Výpočet ukazatelů úrovně zisku (tis. Kč) </t>
    </r>
    <r>
      <rPr>
        <b/>
        <sz val="11"/>
        <color rgb="FFC00000"/>
        <rFont val="Trebuchet MS"/>
        <family val="2"/>
      </rPr>
      <t>ALZA.cz a.s.</t>
    </r>
  </si>
  <si>
    <t xml:space="preserve"> z toho materiál</t>
  </si>
  <si>
    <t xml:space="preserve"> z toho zboží</t>
  </si>
  <si>
    <t>Tržby z prodeje vlastních výrobků a služeb ("výkony")</t>
  </si>
  <si>
    <t>Výsledek hospodaření po zdanění ("český" zisk po zdanění)</t>
  </si>
  <si>
    <t>Výsledek hospodaření před zdaněním ("český" zisk před zdaněním)</t>
  </si>
  <si>
    <t>Provozní výsledek hospodaření ("český" zisk před úroky a zdaněním)</t>
  </si>
  <si>
    <t>Krátkodobý finanční majetek a peněžní prostředky</t>
  </si>
  <si>
    <t>Dlouhodobý nehmotný majetek</t>
  </si>
  <si>
    <t>Dlouhodobý hmotný majetek</t>
  </si>
  <si>
    <t>Dlouhodobý finanční majetek</t>
  </si>
  <si>
    <t>Dlouhodobé pohledávky</t>
  </si>
  <si>
    <t>Krátkodobé pohledávky</t>
  </si>
  <si>
    <t>Dlouhodobý majetek</t>
  </si>
  <si>
    <t>Oběžná aktiva</t>
  </si>
  <si>
    <t>Zásoby</t>
  </si>
  <si>
    <t xml:space="preserve"> z toho ostatní zásoby</t>
  </si>
  <si>
    <t>Vlastní kapitál</t>
  </si>
  <si>
    <t>Časové rozlíšení</t>
  </si>
  <si>
    <t xml:space="preserve"> z toho dlouhodobé závazky k úvěrovým institucím</t>
  </si>
  <si>
    <t xml:space="preserve"> z toho ostatní dlouhodobé závazky</t>
  </si>
  <si>
    <t>Cizí zdroje</t>
  </si>
  <si>
    <t>Dlouhodobé závazky</t>
  </si>
  <si>
    <t>Bankovní úvěry krátkodobé</t>
  </si>
  <si>
    <t>Základní kapitál</t>
  </si>
  <si>
    <t>Kapitálové fondy</t>
  </si>
  <si>
    <t>Rezervní fondy, nedělitelný fond a ostatní fondy ze zisku</t>
  </si>
  <si>
    <t>Výsledek hospodaření minulých let</t>
  </si>
  <si>
    <t>Výsledek hospodaření běžného účetního obodobí</t>
  </si>
  <si>
    <t>Výkonová spotřeba bez nákladů na prodané zboží</t>
  </si>
  <si>
    <t>Osobní náklady</t>
  </si>
  <si>
    <t>Ostatní provozní náklady</t>
  </si>
  <si>
    <t>Aktivace (-)</t>
  </si>
  <si>
    <t>Odpisy</t>
  </si>
  <si>
    <t xml:space="preserve"> úprava odpisů zásob</t>
  </si>
  <si>
    <t>Informace k reorganizaci výsledovky</t>
  </si>
  <si>
    <t>rozdíl</t>
  </si>
  <si>
    <t>současná výše odpisu zásob z nákladů na prodané zboží</t>
  </si>
  <si>
    <t>upravená výše odpisu zásob z nákladů na prodané zboží</t>
  </si>
  <si>
    <t xml:space="preserve">Ostatní provozní výnosy </t>
  </si>
  <si>
    <t>tržby z prodeje dlouhodobého majetku</t>
  </si>
  <si>
    <t>tržby z prodeje materiálu</t>
  </si>
  <si>
    <t>náklady na prodaný dlouhodobý majetek</t>
  </si>
  <si>
    <t>náklady na prodaný materiál</t>
  </si>
  <si>
    <t>úprava o náklady z prodeje zbytného majetku</t>
  </si>
  <si>
    <t xml:space="preserve"> úprava o tržby z prodeje zbytného majetku (-)</t>
  </si>
  <si>
    <t>provozně nutné ostatní finanční náklady související z provozováním</t>
  </si>
  <si>
    <t>provozně nutné ostatní finanční výnosy související s provozováním</t>
  </si>
  <si>
    <t>provozně nutná výše finančních nákladů</t>
  </si>
  <si>
    <t>provozně nutná výše finančních výnosů</t>
  </si>
  <si>
    <t>Komentář k vyhodnocení:</t>
  </si>
  <si>
    <t>AMZN.O (Amazon.com Inc)</t>
  </si>
  <si>
    <t>BBY.N (Best Buy Co Inc)</t>
  </si>
  <si>
    <t>GRPN.OQ (Groupon Inc)</t>
  </si>
  <si>
    <t>COST.OQ (Costco Wholesale Corp)</t>
  </si>
  <si>
    <t>TGT.N (Target Corp)</t>
  </si>
  <si>
    <t>Mall.cz</t>
  </si>
  <si>
    <t>Srovnatelné společnosti*</t>
  </si>
  <si>
    <t>* data z databáze stockanalysis.com</t>
  </si>
  <si>
    <t>Ukazatelé aktivity</t>
  </si>
  <si>
    <t>doba obratu zásob</t>
  </si>
  <si>
    <t>doba obratu kr. pohledávek</t>
  </si>
  <si>
    <t>doba obratu kr. závazků</t>
  </si>
  <si>
    <t>Běžná likvidita ("Current ratio") - jen provozně nutné</t>
  </si>
  <si>
    <t>Běžná likvidita účetní (bez zohlednění neprovozního majetku)</t>
  </si>
  <si>
    <t>Pohotová likvidita ("Quick ratio") - jen provozně nutné</t>
  </si>
  <si>
    <t>Peněžní likvidita ("Cash ratio") - jen provozně nutné</t>
  </si>
  <si>
    <t>Peněžní likvidita účetní (bez zohlednění neprovozního majetku)</t>
  </si>
  <si>
    <t>Pohotová likvidita (bez zohlednění neprovozního majetku)</t>
  </si>
  <si>
    <t>x</t>
  </si>
  <si>
    <t>běžná likvidita</t>
  </si>
  <si>
    <t>pohotová likvidita</t>
  </si>
  <si>
    <t>peněžní likvidita</t>
  </si>
  <si>
    <t>Obchodní deficit</t>
  </si>
  <si>
    <t>Doba obratu kr. závazků</t>
  </si>
  <si>
    <t>Doba obratu kr. pohledávek</t>
  </si>
  <si>
    <t>Obrat kr. pohledávek</t>
  </si>
  <si>
    <t>Doba obratu zásob</t>
  </si>
  <si>
    <t>Obrat zásob</t>
  </si>
  <si>
    <t>Pracovní kapitál bez peněz</t>
  </si>
  <si>
    <t>Pracovní kapitál</t>
  </si>
  <si>
    <t>Peněžní likvidita</t>
  </si>
  <si>
    <t>Pohotová likvidita</t>
  </si>
  <si>
    <t>Běžná likvidita</t>
  </si>
  <si>
    <t>Krátkodobé závazky (tis. Kč)</t>
  </si>
  <si>
    <t>Peněžní prostředky</t>
  </si>
  <si>
    <t>Krátkodobé</t>
  </si>
  <si>
    <t>Dlouhodobé</t>
  </si>
  <si>
    <t>Pohledávky</t>
  </si>
  <si>
    <t>Výrobky a zboží</t>
  </si>
  <si>
    <t>Oběžná aktiva (tis. Kč)</t>
  </si>
  <si>
    <t>Tržby z prodeje zboží</t>
  </si>
  <si>
    <t>Tržby z prodeje výrobků a služeb</t>
  </si>
  <si>
    <t>Tržby</t>
  </si>
  <si>
    <t>Peněžní prostředky + KFM</t>
  </si>
  <si>
    <t>Vyhodnocení u peer group - median</t>
  </si>
  <si>
    <t>Vyhodnocení u peer group - průměrné veličiny</t>
  </si>
  <si>
    <t>Dopočte se z hodnot u jednotlivých společností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</si>
</sst>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b/>
      <sz val="11"/>
      <color rgb="FFC00000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color theme="5" tint="-0.249977111117893"/>
      <name val="Trebuchet MS"/>
      <family val="2"/>
    </font>
    <font>
      <sz val="11"/>
      <name val="Trebuchet MS"/>
      <family val="2"/>
      <charset val="238"/>
    </font>
    <font>
      <b/>
      <sz val="10"/>
      <name val="Arial"/>
      <family val="2"/>
    </font>
    <font>
      <b/>
      <sz val="11"/>
      <color rgb="FF7030A0"/>
      <name val="Trebuchet MS"/>
      <family val="2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</font>
    <font>
      <sz val="9"/>
      <name val="Trebuchet MS"/>
      <family val="2"/>
    </font>
    <font>
      <b/>
      <sz val="9"/>
      <color theme="0"/>
      <name val="Trebuchet MS"/>
      <family val="2"/>
    </font>
    <font>
      <u/>
      <sz val="10"/>
      <name val="Arial"/>
      <family val="2"/>
    </font>
    <font>
      <sz val="10"/>
      <color rgb="FF000000"/>
      <name val="Georgia"/>
      <family val="1"/>
    </font>
    <font>
      <b/>
      <i/>
      <sz val="10"/>
      <color rgb="FF000000"/>
      <name val="Georgia"/>
      <family val="1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b/>
      <sz val="10"/>
      <name val="Georgia"/>
      <family val="1"/>
    </font>
    <font>
      <b/>
      <sz val="10"/>
      <color theme="0"/>
      <name val="Arial"/>
      <family val="2"/>
      <charset val="238"/>
    </font>
    <font>
      <b/>
      <sz val="16"/>
      <color theme="0"/>
      <name val="Lucida Grande"/>
      <family val="2"/>
      <charset val="238"/>
    </font>
    <font>
      <sz val="16"/>
      <color rgb="FF444444"/>
      <name val="Lucida Grande"/>
      <family val="2"/>
    </font>
    <font>
      <b/>
      <sz val="12"/>
      <color theme="0"/>
      <name val="Arial"/>
      <family val="2"/>
    </font>
    <font>
      <b/>
      <sz val="10"/>
      <color theme="4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7030A0"/>
      </bottom>
      <diagonal/>
    </border>
    <border>
      <left style="medium">
        <color rgb="FF7030A0"/>
      </left>
      <right style="medium">
        <color theme="0"/>
      </right>
      <top style="medium">
        <color theme="0"/>
      </top>
      <bottom style="medium">
        <color rgb="FF7030A0"/>
      </bottom>
      <diagonal/>
    </border>
    <border>
      <left style="medium">
        <color rgb="FF7030A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7030A0"/>
      </top>
      <bottom style="medium">
        <color theme="0"/>
      </bottom>
      <diagonal/>
    </border>
    <border>
      <left style="medium">
        <color rgb="FF7030A0"/>
      </left>
      <right style="medium">
        <color theme="0"/>
      </right>
      <top style="medium">
        <color rgb="FF7030A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rgb="FF7030A0"/>
      </left>
      <right style="medium">
        <color theme="0"/>
      </right>
      <top style="medium">
        <color rgb="FF7030A0"/>
      </top>
      <bottom style="medium">
        <color rgb="FF7030A0"/>
      </bottom>
      <diagonal/>
    </border>
    <border>
      <left/>
      <right style="medium">
        <color theme="0"/>
      </right>
      <top style="medium">
        <color rgb="FF7030A0"/>
      </top>
      <bottom style="medium">
        <color rgb="FF7030A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dotted">
        <color auto="1"/>
      </top>
      <bottom style="medium">
        <color rgb="FF0070C0"/>
      </bottom>
      <diagonal/>
    </border>
    <border>
      <left style="medium">
        <color rgb="FF0070C0"/>
      </left>
      <right/>
      <top style="dotted">
        <color auto="1"/>
      </top>
      <bottom style="medium">
        <color rgb="FF0070C0"/>
      </bottom>
      <diagonal/>
    </border>
    <border>
      <left/>
      <right style="medium">
        <color rgb="FF0070C0"/>
      </right>
      <top/>
      <bottom style="dotted">
        <color auto="1"/>
      </bottom>
      <diagonal/>
    </border>
    <border>
      <left style="medium">
        <color rgb="FF0070C0"/>
      </left>
      <right/>
      <top style="dotted">
        <color auto="1"/>
      </top>
      <bottom style="dotted">
        <color auto="1"/>
      </bottom>
      <diagonal/>
    </border>
    <border>
      <left style="medium">
        <color rgb="FF0070C0"/>
      </left>
      <right/>
      <top/>
      <bottom style="dotted">
        <color auto="1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2" borderId="0" xfId="0" applyFont="1" applyFill="1"/>
    <xf numFmtId="0" fontId="2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Alignment="1">
      <alignment horizontal="center"/>
    </xf>
    <xf numFmtId="3" fontId="4" fillId="3" borderId="4" xfId="0" applyNumberFormat="1" applyFont="1" applyFill="1" applyBorder="1"/>
    <xf numFmtId="0" fontId="4" fillId="3" borderId="5" xfId="0" applyFont="1" applyFill="1" applyBorder="1"/>
    <xf numFmtId="3" fontId="4" fillId="3" borderId="2" xfId="0" applyNumberFormat="1" applyFont="1" applyFill="1" applyBorder="1"/>
    <xf numFmtId="0" fontId="4" fillId="2" borderId="0" xfId="0" applyFont="1" applyFill="1" applyAlignment="1">
      <alignment horizontal="center"/>
    </xf>
    <xf numFmtId="0" fontId="5" fillId="4" borderId="3" xfId="0" applyFont="1" applyFill="1" applyBorder="1"/>
    <xf numFmtId="3" fontId="5" fillId="4" borderId="4" xfId="0" applyNumberFormat="1" applyFont="1" applyFill="1" applyBorder="1"/>
    <xf numFmtId="0" fontId="9" fillId="2" borderId="8" xfId="0" applyFont="1" applyFill="1" applyBorder="1"/>
    <xf numFmtId="3" fontId="9" fillId="2" borderId="9" xfId="0" applyNumberFormat="1" applyFont="1" applyFill="1" applyBorder="1"/>
    <xf numFmtId="0" fontId="9" fillId="2" borderId="0" xfId="0" applyFont="1" applyFill="1"/>
    <xf numFmtId="3" fontId="9" fillId="2" borderId="0" xfId="0" applyNumberFormat="1" applyFont="1" applyFill="1"/>
    <xf numFmtId="0" fontId="9" fillId="2" borderId="12" xfId="0" applyFont="1" applyFill="1" applyBorder="1"/>
    <xf numFmtId="3" fontId="9" fillId="2" borderId="13" xfId="0" applyNumberFormat="1" applyFont="1" applyFill="1" applyBorder="1"/>
    <xf numFmtId="0" fontId="5" fillId="4" borderId="10" xfId="0" applyFont="1" applyFill="1" applyBorder="1"/>
    <xf numFmtId="3" fontId="5" fillId="4" borderId="11" xfId="0" applyNumberFormat="1" applyFont="1" applyFill="1" applyBorder="1"/>
    <xf numFmtId="3" fontId="4" fillId="3" borderId="15" xfId="0" applyNumberFormat="1" applyFont="1" applyFill="1" applyBorder="1"/>
    <xf numFmtId="3" fontId="5" fillId="4" borderId="2" xfId="0" applyNumberFormat="1" applyFont="1" applyFill="1" applyBorder="1"/>
    <xf numFmtId="3" fontId="5" fillId="4" borderId="7" xfId="0" applyNumberFormat="1" applyFont="1" applyFill="1" applyBorder="1"/>
    <xf numFmtId="4" fontId="4" fillId="5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4" fillId="5" borderId="17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" fontId="7" fillId="5" borderId="20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3" fontId="0" fillId="0" borderId="0" xfId="0" applyNumberFormat="1"/>
    <xf numFmtId="0" fontId="4" fillId="6" borderId="5" xfId="0" applyFont="1" applyFill="1" applyBorder="1"/>
    <xf numFmtId="3" fontId="4" fillId="6" borderId="2" xfId="0" applyNumberFormat="1" applyFont="1" applyFill="1" applyBorder="1"/>
    <xf numFmtId="0" fontId="4" fillId="6" borderId="10" xfId="0" applyFont="1" applyFill="1" applyBorder="1"/>
    <xf numFmtId="4" fontId="13" fillId="6" borderId="11" xfId="0" applyNumberFormat="1" applyFont="1" applyFill="1" applyBorder="1"/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23" xfId="0" applyFont="1" applyFill="1" applyBorder="1"/>
    <xf numFmtId="10" fontId="0" fillId="0" borderId="0" xfId="0" applyNumberFormat="1"/>
    <xf numFmtId="0" fontId="4" fillId="7" borderId="5" xfId="0" applyFont="1" applyFill="1" applyBorder="1" applyAlignment="1">
      <alignment horizontal="left" vertical="center"/>
    </xf>
    <xf numFmtId="3" fontId="4" fillId="7" borderId="2" xfId="0" applyNumberFormat="1" applyFont="1" applyFill="1" applyBorder="1"/>
    <xf numFmtId="0" fontId="4" fillId="7" borderId="0" xfId="0" applyFont="1" applyFill="1"/>
    <xf numFmtId="0" fontId="4" fillId="0" borderId="0" xfId="0" applyFont="1"/>
    <xf numFmtId="0" fontId="4" fillId="0" borderId="22" xfId="0" applyFont="1" applyBorder="1"/>
    <xf numFmtId="3" fontId="0" fillId="0" borderId="22" xfId="0" applyNumberFormat="1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28" xfId="0" applyFont="1" applyBorder="1" applyAlignment="1">
      <alignment horizontal="left" vertical="center" indent="2"/>
    </xf>
    <xf numFmtId="0" fontId="17" fillId="0" borderId="30" xfId="0" applyFont="1" applyBorder="1" applyAlignment="1">
      <alignment horizontal="left" vertical="center" indent="2"/>
    </xf>
    <xf numFmtId="0" fontId="17" fillId="0" borderId="31" xfId="0" applyFont="1" applyBorder="1" applyAlignment="1">
      <alignment horizontal="left" vertical="center" indent="2"/>
    </xf>
    <xf numFmtId="10" fontId="19" fillId="2" borderId="29" xfId="1" applyNumberFormat="1" applyFont="1" applyFill="1" applyBorder="1" applyAlignment="1">
      <alignment vertical="center"/>
    </xf>
    <xf numFmtId="10" fontId="19" fillId="2" borderId="27" xfId="1" applyNumberFormat="1" applyFont="1" applyFill="1" applyBorder="1" applyAlignment="1">
      <alignment vertical="center"/>
    </xf>
    <xf numFmtId="10" fontId="19" fillId="2" borderId="32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9" borderId="34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11" borderId="34" xfId="0" applyFont="1" applyFill="1" applyBorder="1" applyAlignment="1">
      <alignment horizontal="left" vertical="center"/>
    </xf>
    <xf numFmtId="9" fontId="18" fillId="10" borderId="25" xfId="1" applyFont="1" applyFill="1" applyBorder="1" applyAlignment="1">
      <alignment horizontal="center" vertical="center"/>
    </xf>
    <xf numFmtId="9" fontId="18" fillId="11" borderId="26" xfId="1" applyFont="1" applyFill="1" applyBorder="1" applyAlignment="1">
      <alignment horizontal="center" vertical="center"/>
    </xf>
    <xf numFmtId="9" fontId="18" fillId="10" borderId="26" xfId="1" applyFont="1" applyFill="1" applyBorder="1" applyAlignment="1">
      <alignment horizontal="center" vertical="center"/>
    </xf>
    <xf numFmtId="2" fontId="0" fillId="12" borderId="35" xfId="0" applyNumberFormat="1" applyFill="1" applyBorder="1" applyAlignment="1">
      <alignment vertical="center"/>
    </xf>
    <xf numFmtId="2" fontId="0" fillId="12" borderId="36" xfId="0" applyNumberFormat="1" applyFill="1" applyBorder="1" applyAlignment="1">
      <alignment vertical="center"/>
    </xf>
    <xf numFmtId="2" fontId="0" fillId="12" borderId="37" xfId="0" applyNumberFormat="1" applyFill="1" applyBorder="1" applyAlignment="1">
      <alignment vertical="center"/>
    </xf>
    <xf numFmtId="2" fontId="0" fillId="12" borderId="38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9" xfId="0" applyFont="1" applyBorder="1" applyAlignment="1">
      <alignment vertical="center"/>
    </xf>
    <xf numFmtId="3" fontId="0" fillId="12" borderId="35" xfId="0" applyNumberFormat="1" applyFill="1" applyBorder="1" applyAlignment="1">
      <alignment vertical="center"/>
    </xf>
    <xf numFmtId="3" fontId="0" fillId="12" borderId="36" xfId="0" applyNumberFormat="1" applyFill="1" applyBorder="1" applyAlignment="1">
      <alignment vertical="center"/>
    </xf>
    <xf numFmtId="2" fontId="0" fillId="12" borderId="40" xfId="0" applyNumberFormat="1" applyFill="1" applyBorder="1" applyAlignment="1">
      <alignment vertical="center"/>
    </xf>
    <xf numFmtId="2" fontId="0" fillId="12" borderId="41" xfId="0" applyNumberForma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8" fillId="0" borderId="42" xfId="0" applyFont="1" applyBorder="1" applyAlignment="1">
      <alignment vertical="center"/>
    </xf>
    <xf numFmtId="2" fontId="0" fillId="12" borderId="43" xfId="0" applyNumberForma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vertical="center"/>
    </xf>
    <xf numFmtId="3" fontId="21" fillId="4" borderId="0" xfId="0" applyNumberFormat="1" applyFont="1" applyFill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0" fontId="8" fillId="8" borderId="0" xfId="0" applyFont="1" applyFill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8" fillId="8" borderId="0" xfId="0" applyFont="1" applyFill="1" applyAlignment="1">
      <alignment horizontal="left" vertical="top"/>
    </xf>
    <xf numFmtId="2" fontId="0" fillId="12" borderId="45" xfId="0" applyNumberFormat="1" applyFill="1" applyBorder="1" applyAlignment="1">
      <alignment vertical="center"/>
    </xf>
    <xf numFmtId="2" fontId="0" fillId="12" borderId="46" xfId="0" applyNumberFormat="1" applyFill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vertical="center"/>
    </xf>
    <xf numFmtId="2" fontId="0" fillId="12" borderId="49" xfId="0" applyNumberFormat="1" applyFill="1" applyBorder="1" applyAlignment="1">
      <alignment vertical="center"/>
    </xf>
    <xf numFmtId="2" fontId="0" fillId="12" borderId="44" xfId="0" applyNumberFormat="1" applyFill="1" applyBorder="1" applyAlignment="1">
      <alignment vertical="center"/>
    </xf>
    <xf numFmtId="0" fontId="8" fillId="0" borderId="50" xfId="0" applyFont="1" applyBorder="1" applyAlignment="1">
      <alignment vertical="center"/>
    </xf>
    <xf numFmtId="3" fontId="0" fillId="12" borderId="49" xfId="0" applyNumberFormat="1" applyFill="1" applyBorder="1" applyAlignment="1">
      <alignment vertical="center"/>
    </xf>
    <xf numFmtId="3" fontId="0" fillId="12" borderId="44" xfId="0" applyNumberFormat="1" applyFill="1" applyBorder="1" applyAlignment="1">
      <alignment vertical="center"/>
    </xf>
    <xf numFmtId="3" fontId="0" fillId="12" borderId="39" xfId="0" applyNumberForma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0" fillId="0" borderId="52" xfId="0" applyBorder="1"/>
    <xf numFmtId="0" fontId="24" fillId="13" borderId="53" xfId="0" applyFont="1" applyFill="1" applyBorder="1" applyAlignment="1">
      <alignment horizontal="left" vertical="center"/>
    </xf>
    <xf numFmtId="0" fontId="24" fillId="13" borderId="0" xfId="0" applyFont="1" applyFill="1" applyAlignment="1">
      <alignment horizontal="left" vertical="center"/>
    </xf>
    <xf numFmtId="0" fontId="24" fillId="13" borderId="52" xfId="0" applyFont="1" applyFill="1" applyBorder="1" applyAlignment="1">
      <alignment horizontal="left" vertical="center"/>
    </xf>
    <xf numFmtId="0" fontId="0" fillId="0" borderId="53" xfId="0" applyBorder="1"/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25400</xdr:rowOff>
    </xdr:from>
    <xdr:ext cx="1666583" cy="876300"/>
    <xdr:pic>
      <xdr:nvPicPr>
        <xdr:cNvPr id="2" name="Obrázek 1" descr="Volná místa | MAKRO Cash &amp; Carry ČR s.r.o.">
          <a:extLst>
            <a:ext uri="{FF2B5EF4-FFF2-40B4-BE49-F238E27FC236}">
              <a16:creationId xmlns:a16="http://schemas.microsoft.com/office/drawing/2014/main" id="{6FD332BD-F089-F246-85C4-5E21BD8D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66658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127000</xdr:rowOff>
    </xdr:from>
    <xdr:ext cx="1747345" cy="723900"/>
    <xdr:pic>
      <xdr:nvPicPr>
        <xdr:cNvPr id="3" name="Obrázek 2">
          <a:extLst>
            <a:ext uri="{FF2B5EF4-FFF2-40B4-BE49-F238E27FC236}">
              <a16:creationId xmlns:a16="http://schemas.microsoft.com/office/drawing/2014/main" id="{16189BA1-1032-E04F-8FEB-3A37AF4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0"/>
          <a:ext cx="174734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4749800" cy="1727200"/>
    <xdr:sp macro="" textlink="">
      <xdr:nvSpPr>
        <xdr:cNvPr id="4" name="AutoShape 3" descr="Mall.cz je oficiálním partnerem ČOV | Svět sportu">
          <a:extLst>
            <a:ext uri="{FF2B5EF4-FFF2-40B4-BE49-F238E27FC236}">
              <a16:creationId xmlns:a16="http://schemas.microsoft.com/office/drawing/2014/main" id="{F57B6E8E-D1A0-F041-9FCD-18F1F62CC92F}"/>
            </a:ext>
          </a:extLst>
        </xdr:cNvPr>
        <xdr:cNvSpPr>
          <a:spLocks noChangeAspect="1" noChangeArrowheads="1"/>
        </xdr:cNvSpPr>
      </xdr:nvSpPr>
      <xdr:spPr bwMode="auto">
        <a:xfrm>
          <a:off x="0" y="9906000"/>
          <a:ext cx="4749800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8834</xdr:rowOff>
    </xdr:from>
    <xdr:ext cx="1714500" cy="969065"/>
    <xdr:pic>
      <xdr:nvPicPr>
        <xdr:cNvPr id="5" name="Obrázek 4" descr="Mall.cz musí odškodnit uživatele za únik hesla, rozhodl soud - Root.cz">
          <a:extLst>
            <a:ext uri="{FF2B5EF4-FFF2-40B4-BE49-F238E27FC236}">
              <a16:creationId xmlns:a16="http://schemas.microsoft.com/office/drawing/2014/main" id="{8E388D85-CC38-514D-B020-1D9D2298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4834"/>
          <a:ext cx="1714500" cy="96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0E11-2559-044C-9620-EC6B81CF6C4A}">
  <dimension ref="A6:AF90"/>
  <sheetViews>
    <sheetView tabSelected="1" workbookViewId="0">
      <selection activeCell="Y1" sqref="Y1:AF1048576"/>
    </sheetView>
  </sheetViews>
  <sheetFormatPr baseColWidth="10" defaultRowHeight="13" x14ac:dyDescent="0.15"/>
  <cols>
    <col min="2" max="2" width="16" customWidth="1"/>
    <col min="3" max="3" width="14.5" customWidth="1"/>
    <col min="4" max="11" width="11.5" customWidth="1"/>
    <col min="14" max="14" width="14.83203125" customWidth="1"/>
    <col min="15" max="22" width="10.83203125" customWidth="1"/>
    <col min="24" max="24" width="25.1640625" customWidth="1"/>
    <col min="25" max="32" width="12.33203125" customWidth="1"/>
  </cols>
  <sheetData>
    <row r="6" spans="1:32" ht="23" customHeight="1" x14ac:dyDescent="0.15">
      <c r="D6" s="23">
        <v>2022</v>
      </c>
      <c r="E6" s="23">
        <v>2021</v>
      </c>
      <c r="F6" s="23">
        <v>2020</v>
      </c>
      <c r="G6" s="23">
        <v>2019</v>
      </c>
      <c r="H6" s="23">
        <v>2018</v>
      </c>
      <c r="I6" s="23">
        <v>2017</v>
      </c>
      <c r="J6" s="23">
        <v>2016</v>
      </c>
      <c r="K6" s="23">
        <v>2015</v>
      </c>
    </row>
    <row r="7" spans="1:32" ht="23" customHeight="1" x14ac:dyDescent="0.15">
      <c r="A7" s="93" t="s">
        <v>112</v>
      </c>
      <c r="B7" s="94"/>
      <c r="C7" s="93"/>
      <c r="D7" s="93"/>
      <c r="E7" s="93"/>
      <c r="F7" s="93"/>
      <c r="G7" s="92">
        <f>G8+G9</f>
        <v>28571137</v>
      </c>
      <c r="H7" s="92">
        <f>H8+H9</f>
        <v>28954624</v>
      </c>
      <c r="I7" s="92">
        <f>I8+I9</f>
        <v>29218409</v>
      </c>
      <c r="J7" s="92">
        <f>J8+J9</f>
        <v>29895156</v>
      </c>
      <c r="K7" s="92">
        <f>K8+K9</f>
        <v>30124609</v>
      </c>
    </row>
    <row r="8" spans="1:32" ht="23" customHeight="1" x14ac:dyDescent="0.15">
      <c r="B8" s="96" t="s">
        <v>111</v>
      </c>
      <c r="C8" s="96"/>
      <c r="D8" s="96"/>
      <c r="E8" s="96"/>
      <c r="F8" s="96"/>
      <c r="G8" s="95">
        <v>771369</v>
      </c>
      <c r="H8" s="95">
        <v>1006127</v>
      </c>
      <c r="I8" s="95">
        <v>1263268</v>
      </c>
      <c r="J8" s="95">
        <v>1701266</v>
      </c>
      <c r="K8" s="95">
        <v>1826138</v>
      </c>
    </row>
    <row r="9" spans="1:32" ht="23" customHeight="1" x14ac:dyDescent="0.15">
      <c r="B9" s="96" t="s">
        <v>110</v>
      </c>
      <c r="C9" s="96"/>
      <c r="D9" s="96"/>
      <c r="E9" s="96"/>
      <c r="F9" s="96"/>
      <c r="G9" s="95">
        <v>27799768</v>
      </c>
      <c r="H9" s="95">
        <v>27948497</v>
      </c>
      <c r="I9" s="95">
        <v>27955141</v>
      </c>
      <c r="J9" s="95">
        <v>28193890</v>
      </c>
      <c r="K9" s="95">
        <v>28298471</v>
      </c>
    </row>
    <row r="10" spans="1:32" ht="21" customHeight="1" x14ac:dyDescent="0.15">
      <c r="A10" s="93" t="s">
        <v>109</v>
      </c>
      <c r="B10" s="94"/>
      <c r="C10" s="93"/>
      <c r="D10" s="93"/>
      <c r="E10" s="93"/>
      <c r="F10" s="93"/>
      <c r="G10" s="92">
        <f>G11+G13+G16</f>
        <v>3890915</v>
      </c>
      <c r="H10" s="92">
        <f>H11+H13+H16</f>
        <v>5296418</v>
      </c>
      <c r="I10" s="92">
        <f>I11+I13+I16</f>
        <v>6012541</v>
      </c>
      <c r="J10" s="92">
        <f>J11+J13+J16</f>
        <v>5274877</v>
      </c>
      <c r="K10" s="92">
        <f>K11+K13+K16</f>
        <v>4349781</v>
      </c>
    </row>
    <row r="11" spans="1:32" ht="21" customHeight="1" x14ac:dyDescent="0.15">
      <c r="B11" s="96" t="s">
        <v>34</v>
      </c>
      <c r="C11" s="96"/>
      <c r="D11" s="96"/>
      <c r="E11" s="96"/>
      <c r="F11" s="96"/>
      <c r="G11" s="95">
        <f>G12</f>
        <v>1790000</v>
      </c>
      <c r="H11" s="95">
        <f>H12</f>
        <v>1764640</v>
      </c>
      <c r="I11" s="95">
        <f>I12</f>
        <v>1490440</v>
      </c>
      <c r="J11" s="95">
        <f>J12</f>
        <v>1508986</v>
      </c>
      <c r="K11" s="95">
        <f>K12</f>
        <v>1413938</v>
      </c>
    </row>
    <row r="12" spans="1:32" ht="21" customHeight="1" x14ac:dyDescent="0.15">
      <c r="C12" s="98" t="s">
        <v>108</v>
      </c>
      <c r="D12" s="98"/>
      <c r="E12" s="98"/>
      <c r="F12" s="98"/>
      <c r="G12" s="97">
        <v>1790000</v>
      </c>
      <c r="H12" s="97">
        <v>1764640</v>
      </c>
      <c r="I12" s="97">
        <v>1490440</v>
      </c>
      <c r="J12" s="97">
        <v>1508986</v>
      </c>
      <c r="K12" s="97">
        <v>1413938</v>
      </c>
    </row>
    <row r="13" spans="1:32" ht="21" customHeight="1" x14ac:dyDescent="0.15">
      <c r="B13" s="96" t="s">
        <v>107</v>
      </c>
      <c r="C13" s="100"/>
      <c r="D13" s="100"/>
      <c r="E13" s="100"/>
      <c r="F13" s="100"/>
      <c r="G13" s="95">
        <f>G14+G15</f>
        <v>1536352</v>
      </c>
      <c r="H13" s="95">
        <f>H14+H15</f>
        <v>1500908</v>
      </c>
      <c r="I13" s="95">
        <f>I14+I15</f>
        <v>1146604</v>
      </c>
      <c r="J13" s="95">
        <f>J14+J15</f>
        <v>3099724</v>
      </c>
      <c r="K13" s="95">
        <f>K14+K15</f>
        <v>2504749</v>
      </c>
    </row>
    <row r="14" spans="1:32" ht="21" customHeight="1" thickBot="1" x14ac:dyDescent="0.25">
      <c r="B14" s="99"/>
      <c r="C14" s="98" t="s">
        <v>106</v>
      </c>
      <c r="D14" s="98"/>
      <c r="E14" s="98"/>
      <c r="F14" s="98"/>
      <c r="G14" s="97">
        <v>24641</v>
      </c>
      <c r="H14" s="97">
        <v>21586</v>
      </c>
      <c r="I14" s="97">
        <v>5779</v>
      </c>
      <c r="J14" s="97">
        <v>0</v>
      </c>
      <c r="K14" s="97">
        <v>0</v>
      </c>
    </row>
    <row r="15" spans="1:32" ht="21" customHeight="1" x14ac:dyDescent="0.15">
      <c r="C15" s="98" t="s">
        <v>105</v>
      </c>
      <c r="D15" s="98"/>
      <c r="E15" s="98"/>
      <c r="F15" s="98"/>
      <c r="G15" s="97">
        <v>1511711</v>
      </c>
      <c r="H15" s="97">
        <v>1479322</v>
      </c>
      <c r="I15" s="97">
        <v>1140825</v>
      </c>
      <c r="J15" s="97">
        <v>3099724</v>
      </c>
      <c r="K15" s="97">
        <v>2504749</v>
      </c>
      <c r="M15" s="121" t="s">
        <v>116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19"/>
    </row>
    <row r="16" spans="1:32" ht="21" customHeight="1" x14ac:dyDescent="0.15">
      <c r="B16" s="96" t="s">
        <v>104</v>
      </c>
      <c r="C16" s="96"/>
      <c r="D16" s="96"/>
      <c r="E16" s="96"/>
      <c r="F16" s="96"/>
      <c r="G16" s="95">
        <v>564563</v>
      </c>
      <c r="H16" s="95">
        <v>2030870</v>
      </c>
      <c r="I16" s="95">
        <v>3375497</v>
      </c>
      <c r="J16" s="95">
        <v>666167</v>
      </c>
      <c r="K16" s="95">
        <v>431094</v>
      </c>
      <c r="M16" s="114"/>
      <c r="AF16" s="118"/>
    </row>
    <row r="17" spans="1:32" ht="21" customHeight="1" x14ac:dyDescent="0.15">
      <c r="A17" s="93" t="s">
        <v>103</v>
      </c>
      <c r="B17" s="94"/>
      <c r="C17" s="93"/>
      <c r="D17" s="93"/>
      <c r="E17" s="93"/>
      <c r="F17" s="93"/>
      <c r="G17" s="92">
        <v>4328093</v>
      </c>
      <c r="H17" s="92">
        <v>5609989</v>
      </c>
      <c r="I17" s="92">
        <v>6274905</v>
      </c>
      <c r="J17" s="92">
        <v>5539913</v>
      </c>
      <c r="K17" s="92">
        <v>3617804</v>
      </c>
      <c r="M17" s="117" t="s">
        <v>115</v>
      </c>
      <c r="N17" s="116"/>
      <c r="O17" s="116"/>
      <c r="P17" s="116"/>
      <c r="Q17" s="116"/>
      <c r="R17" s="116"/>
      <c r="S17" s="116"/>
      <c r="T17" s="116"/>
      <c r="U17" s="116"/>
      <c r="V17" s="116"/>
      <c r="X17" s="116" t="s">
        <v>114</v>
      </c>
      <c r="Y17" s="116"/>
      <c r="Z17" s="116"/>
      <c r="AA17" s="116"/>
      <c r="AB17" s="116"/>
      <c r="AC17" s="116"/>
      <c r="AD17" s="116"/>
      <c r="AE17" s="116"/>
      <c r="AF17" s="115"/>
    </row>
    <row r="18" spans="1:32" ht="24" customHeight="1" x14ac:dyDescent="0.15">
      <c r="M18" s="114"/>
      <c r="O18" s="23">
        <v>2022</v>
      </c>
      <c r="P18" s="23">
        <f>E6</f>
        <v>2021</v>
      </c>
      <c r="Q18" s="23">
        <f>F6</f>
        <v>2020</v>
      </c>
      <c r="R18" s="23">
        <f>G6</f>
        <v>2019</v>
      </c>
      <c r="S18" s="23">
        <f>H6</f>
        <v>2018</v>
      </c>
      <c r="T18" s="23">
        <f>I6</f>
        <v>2017</v>
      </c>
      <c r="U18" s="23">
        <f>J6</f>
        <v>2016</v>
      </c>
      <c r="V18" s="23">
        <f>K6</f>
        <v>2015</v>
      </c>
      <c r="Y18" s="50">
        <f>O18</f>
        <v>2022</v>
      </c>
      <c r="Z18" s="50">
        <f>P18</f>
        <v>2021</v>
      </c>
      <c r="AA18" s="50">
        <f>Q18</f>
        <v>2020</v>
      </c>
      <c r="AB18" s="50">
        <f>R18</f>
        <v>2019</v>
      </c>
      <c r="AC18" s="50">
        <f>S18</f>
        <v>2018</v>
      </c>
      <c r="AD18" s="50">
        <f>T18</f>
        <v>2017</v>
      </c>
      <c r="AE18" s="50">
        <f>U18</f>
        <v>2016</v>
      </c>
      <c r="AF18" s="50">
        <f>V18</f>
        <v>2015</v>
      </c>
    </row>
    <row r="19" spans="1:32" s="48" customFormat="1" ht="24" customHeight="1" x14ac:dyDescent="0.15">
      <c r="B19" s="91" t="s">
        <v>102</v>
      </c>
      <c r="C19" s="90"/>
      <c r="D19" s="80"/>
      <c r="E19" s="80"/>
      <c r="F19" s="79"/>
      <c r="G19" s="79"/>
      <c r="H19" s="79"/>
      <c r="I19" s="79"/>
      <c r="J19" s="79"/>
      <c r="K19" s="89"/>
      <c r="M19" s="113" t="s">
        <v>102</v>
      </c>
      <c r="N19" s="90"/>
      <c r="O19" s="108" t="e">
        <f>AVERAGE(D19,D49,D80)</f>
        <v>#DIV/0!</v>
      </c>
      <c r="P19" s="108" t="e">
        <f>AVERAGE(E19,E49,E80)</f>
        <v>#DIV/0!</v>
      </c>
      <c r="Q19" s="108" t="e">
        <f>AVERAGE(F19,F49,F80)</f>
        <v>#DIV/0!</v>
      </c>
      <c r="R19" s="108" t="e">
        <f>AVERAGE(G19,G49,G80)</f>
        <v>#DIV/0!</v>
      </c>
      <c r="S19" s="108" t="e">
        <f>AVERAGE(H19,H49,H80)</f>
        <v>#DIV/0!</v>
      </c>
      <c r="T19" s="108" t="e">
        <f>AVERAGE(I19,I49,I80)</f>
        <v>#DIV/0!</v>
      </c>
      <c r="U19" s="108" t="e">
        <f>AVERAGE(J19,J49,J80)</f>
        <v>#DIV/0!</v>
      </c>
      <c r="V19" s="108" t="e">
        <f>AVERAGE(K19,K49,K80)</f>
        <v>#DIV/0!</v>
      </c>
      <c r="X19" s="91" t="s">
        <v>102</v>
      </c>
      <c r="Y19" s="108" t="e">
        <f>MEDIAN(D19,D49,D80)</f>
        <v>#NUM!</v>
      </c>
      <c r="Z19" s="108" t="e">
        <f>MEDIAN(E19,E49,E80)</f>
        <v>#NUM!</v>
      </c>
      <c r="AA19" s="108" t="e">
        <f>MEDIAN(F19,F49,F80)</f>
        <v>#NUM!</v>
      </c>
      <c r="AB19" s="108" t="e">
        <f>MEDIAN(G19,G49,G80)</f>
        <v>#NUM!</v>
      </c>
      <c r="AC19" s="108" t="e">
        <f>MEDIAN(H19,H49,H80)</f>
        <v>#NUM!</v>
      </c>
      <c r="AD19" s="108" t="e">
        <f>MEDIAN(I19,I49,I80)</f>
        <v>#NUM!</v>
      </c>
      <c r="AE19" s="108" t="e">
        <f>MEDIAN(J19,J49,J80)</f>
        <v>#NUM!</v>
      </c>
      <c r="AF19" s="107" t="e">
        <f>MEDIAN(K19,K49,K80)</f>
        <v>#NUM!</v>
      </c>
    </row>
    <row r="20" spans="1:32" s="48" customFormat="1" ht="24" customHeight="1" x14ac:dyDescent="0.15">
      <c r="B20" s="82" t="s">
        <v>101</v>
      </c>
      <c r="C20" s="81"/>
      <c r="D20" s="80"/>
      <c r="E20" s="80"/>
      <c r="F20" s="79"/>
      <c r="G20" s="78"/>
      <c r="H20" s="78"/>
      <c r="I20" s="78"/>
      <c r="J20" s="78"/>
      <c r="K20" s="77"/>
      <c r="M20" s="109" t="s">
        <v>101</v>
      </c>
      <c r="N20" s="81"/>
      <c r="O20" s="108" t="e">
        <f>AVERAGE(D20,D50,D81)</f>
        <v>#DIV/0!</v>
      </c>
      <c r="P20" s="108" t="e">
        <f>AVERAGE(E20,E50,E81)</f>
        <v>#DIV/0!</v>
      </c>
      <c r="Q20" s="108" t="e">
        <f>AVERAGE(F20,F50,F81)</f>
        <v>#DIV/0!</v>
      </c>
      <c r="R20" s="108" t="e">
        <f>AVERAGE(G20,G50,G81)</f>
        <v>#DIV/0!</v>
      </c>
      <c r="S20" s="108" t="e">
        <f>AVERAGE(H20,H50,H81)</f>
        <v>#DIV/0!</v>
      </c>
      <c r="T20" s="108" t="e">
        <f>AVERAGE(I20,I50,I81)</f>
        <v>#DIV/0!</v>
      </c>
      <c r="U20" s="108" t="e">
        <f>AVERAGE(J20,J50,J81)</f>
        <v>#DIV/0!</v>
      </c>
      <c r="V20" s="108" t="e">
        <f>AVERAGE(K20,K50,K81)</f>
        <v>#DIV/0!</v>
      </c>
      <c r="X20" s="82" t="s">
        <v>101</v>
      </c>
      <c r="Y20" s="108" t="e">
        <f>MEDIAN(D20,D50,D81)</f>
        <v>#NUM!</v>
      </c>
      <c r="Z20" s="108" t="e">
        <f>MEDIAN(E20,E50,E81)</f>
        <v>#NUM!</v>
      </c>
      <c r="AA20" s="108" t="e">
        <f>MEDIAN(F20,F50,F81)</f>
        <v>#NUM!</v>
      </c>
      <c r="AB20" s="108" t="e">
        <f>MEDIAN(G20,G50,G81)</f>
        <v>#NUM!</v>
      </c>
      <c r="AC20" s="108" t="e">
        <f>MEDIAN(H20,H50,H81)</f>
        <v>#NUM!</v>
      </c>
      <c r="AD20" s="108" t="e">
        <f>MEDIAN(I20,I50,I81)</f>
        <v>#NUM!</v>
      </c>
      <c r="AE20" s="108" t="e">
        <f>MEDIAN(J20,J50,J81)</f>
        <v>#NUM!</v>
      </c>
      <c r="AF20" s="107" t="e">
        <f>MEDIAN(K20,K50,K81)</f>
        <v>#NUM!</v>
      </c>
    </row>
    <row r="21" spans="1:32" s="48" customFormat="1" ht="24" customHeight="1" x14ac:dyDescent="0.15">
      <c r="B21" s="82" t="s">
        <v>100</v>
      </c>
      <c r="C21" s="81"/>
      <c r="D21" s="80"/>
      <c r="E21" s="80"/>
      <c r="F21" s="79"/>
      <c r="G21" s="78"/>
      <c r="H21" s="78"/>
      <c r="I21" s="78"/>
      <c r="J21" s="78"/>
      <c r="K21" s="77"/>
      <c r="M21" s="109" t="s">
        <v>100</v>
      </c>
      <c r="N21" s="81"/>
      <c r="O21" s="108" t="e">
        <f>AVERAGE(D21,D51,D82)</f>
        <v>#DIV/0!</v>
      </c>
      <c r="P21" s="108" t="e">
        <f>AVERAGE(E21,E51,E82)</f>
        <v>#DIV/0!</v>
      </c>
      <c r="Q21" s="108" t="e">
        <f>AVERAGE(F21,F51,F82)</f>
        <v>#DIV/0!</v>
      </c>
      <c r="R21" s="108" t="e">
        <f>AVERAGE(G21,G51,G82)</f>
        <v>#DIV/0!</v>
      </c>
      <c r="S21" s="108" t="e">
        <f>AVERAGE(H21,H51,H82)</f>
        <v>#DIV/0!</v>
      </c>
      <c r="T21" s="108" t="e">
        <f>AVERAGE(I21,I51,I82)</f>
        <v>#DIV/0!</v>
      </c>
      <c r="U21" s="108" t="e">
        <f>AVERAGE(J21,J51,J82)</f>
        <v>#DIV/0!</v>
      </c>
      <c r="V21" s="108" t="e">
        <f>AVERAGE(K21,K51,K82)</f>
        <v>#DIV/0!</v>
      </c>
      <c r="X21" s="82" t="s">
        <v>100</v>
      </c>
      <c r="Y21" s="108" t="e">
        <f>MEDIAN(D21,D51,D82)</f>
        <v>#NUM!</v>
      </c>
      <c r="Z21" s="108" t="e">
        <f>MEDIAN(E21,E51,E82)</f>
        <v>#NUM!</v>
      </c>
      <c r="AA21" s="108" t="e">
        <f>MEDIAN(F21,F51,F82)</f>
        <v>#NUM!</v>
      </c>
      <c r="AB21" s="108" t="e">
        <f>MEDIAN(G21,G51,G82)</f>
        <v>#NUM!</v>
      </c>
      <c r="AC21" s="108" t="e">
        <f>MEDIAN(H21,H51,H82)</f>
        <v>#NUM!</v>
      </c>
      <c r="AD21" s="108" t="e">
        <f>MEDIAN(I21,I51,I82)</f>
        <v>#NUM!</v>
      </c>
      <c r="AE21" s="108" t="e">
        <f>MEDIAN(J21,J51,J82)</f>
        <v>#NUM!</v>
      </c>
      <c r="AF21" s="107" t="e">
        <f>MEDIAN(K21,K51,K82)</f>
        <v>#NUM!</v>
      </c>
    </row>
    <row r="22" spans="1:32" s="48" customFormat="1" ht="24" customHeight="1" x14ac:dyDescent="0.15">
      <c r="B22" s="82" t="s">
        <v>99</v>
      </c>
      <c r="C22" s="81"/>
      <c r="D22" s="80"/>
      <c r="E22" s="80"/>
      <c r="F22" s="79"/>
      <c r="G22" s="84"/>
      <c r="H22" s="84"/>
      <c r="I22" s="84"/>
      <c r="J22" s="84"/>
      <c r="K22" s="83"/>
      <c r="M22" s="109" t="s">
        <v>99</v>
      </c>
      <c r="N22" s="81"/>
      <c r="O22" s="112" t="e">
        <f>AVERAGE(D22,D52,D83)</f>
        <v>#DIV/0!</v>
      </c>
      <c r="P22" s="112" t="e">
        <f>AVERAGE(E22,E52,E83)</f>
        <v>#DIV/0!</v>
      </c>
      <c r="Q22" s="112" t="e">
        <f>AVERAGE(F22,F52,F83)</f>
        <v>#DIV/0!</v>
      </c>
      <c r="R22" s="112" t="e">
        <f>AVERAGE(G22,G52,G83)</f>
        <v>#DIV/0!</v>
      </c>
      <c r="S22" s="112" t="e">
        <f>AVERAGE(H22,H52,H83)</f>
        <v>#DIV/0!</v>
      </c>
      <c r="T22" s="112" t="e">
        <f>AVERAGE(I22,I52,I83)</f>
        <v>#DIV/0!</v>
      </c>
      <c r="U22" s="112" t="e">
        <f>AVERAGE(J22,J52,J83)</f>
        <v>#DIV/0!</v>
      </c>
      <c r="V22" s="112" t="e">
        <f>AVERAGE(K22,K52,K83)</f>
        <v>#DIV/0!</v>
      </c>
      <c r="X22" s="82" t="s">
        <v>99</v>
      </c>
      <c r="Y22" s="111" t="e">
        <f>MEDIAN(D22,D52,D83)</f>
        <v>#NUM!</v>
      </c>
      <c r="Z22" s="111" t="e">
        <f>MEDIAN(E22,E52,E83)</f>
        <v>#NUM!</v>
      </c>
      <c r="AA22" s="111" t="e">
        <f>MEDIAN(F22,F52,F83)</f>
        <v>#NUM!</v>
      </c>
      <c r="AB22" s="111" t="e">
        <f>MEDIAN(G22,G52,G83)</f>
        <v>#NUM!</v>
      </c>
      <c r="AC22" s="111" t="e">
        <f>MEDIAN(H22,H52,H83)</f>
        <v>#NUM!</v>
      </c>
      <c r="AD22" s="111" t="e">
        <f>MEDIAN(I22,I52,I83)</f>
        <v>#NUM!</v>
      </c>
      <c r="AE22" s="111" t="e">
        <f>MEDIAN(J22,J52,J83)</f>
        <v>#NUM!</v>
      </c>
      <c r="AF22" s="110" t="e">
        <f>MEDIAN(K22,K52,K83)</f>
        <v>#NUM!</v>
      </c>
    </row>
    <row r="23" spans="1:32" s="48" customFormat="1" ht="24" customHeight="1" x14ac:dyDescent="0.15">
      <c r="B23" s="82" t="s">
        <v>98</v>
      </c>
      <c r="C23" s="81"/>
      <c r="D23" s="80"/>
      <c r="E23" s="80"/>
      <c r="F23" s="79"/>
      <c r="G23" s="84"/>
      <c r="H23" s="84"/>
      <c r="I23" s="84"/>
      <c r="J23" s="84"/>
      <c r="K23" s="83"/>
      <c r="M23" s="109" t="s">
        <v>98</v>
      </c>
      <c r="N23" s="81"/>
      <c r="O23" s="112" t="e">
        <f>AVERAGE(D23,D53,D84)</f>
        <v>#DIV/0!</v>
      </c>
      <c r="P23" s="112" t="e">
        <f>AVERAGE(E23,E53,E84)</f>
        <v>#DIV/0!</v>
      </c>
      <c r="Q23" s="112" t="e">
        <f>AVERAGE(F23,F53,F84)</f>
        <v>#DIV/0!</v>
      </c>
      <c r="R23" s="112" t="e">
        <f>AVERAGE(G23,G53,G84)</f>
        <v>#DIV/0!</v>
      </c>
      <c r="S23" s="112" t="e">
        <f>AVERAGE(H23,H53,H84)</f>
        <v>#DIV/0!</v>
      </c>
      <c r="T23" s="112" t="e">
        <f>AVERAGE(I23,I53,I84)</f>
        <v>#DIV/0!</v>
      </c>
      <c r="U23" s="112" t="e">
        <f>AVERAGE(J23,J53,J84)</f>
        <v>#DIV/0!</v>
      </c>
      <c r="V23" s="112" t="e">
        <f>AVERAGE(K23,K53,K84)</f>
        <v>#DIV/0!</v>
      </c>
      <c r="X23" s="82" t="s">
        <v>98</v>
      </c>
      <c r="Y23" s="111" t="e">
        <f>MEDIAN(D23,D53,D84)</f>
        <v>#NUM!</v>
      </c>
      <c r="Z23" s="111" t="e">
        <f>MEDIAN(E23,E53,E84)</f>
        <v>#NUM!</v>
      </c>
      <c r="AA23" s="111" t="e">
        <f>MEDIAN(F23,F53,F84)</f>
        <v>#NUM!</v>
      </c>
      <c r="AB23" s="111" t="e">
        <f>MEDIAN(G23,G53,G84)</f>
        <v>#NUM!</v>
      </c>
      <c r="AC23" s="111" t="e">
        <f>MEDIAN(H23,H53,H84)</f>
        <v>#NUM!</v>
      </c>
      <c r="AD23" s="111" t="e">
        <f>MEDIAN(I23,I53,I84)</f>
        <v>#NUM!</v>
      </c>
      <c r="AE23" s="111" t="e">
        <f>MEDIAN(J23,J53,J84)</f>
        <v>#NUM!</v>
      </c>
      <c r="AF23" s="110" t="e">
        <f>MEDIAN(K23,K53,K84)</f>
        <v>#NUM!</v>
      </c>
    </row>
    <row r="24" spans="1:32" s="48" customFormat="1" ht="24" customHeight="1" x14ac:dyDescent="0.15">
      <c r="B24" s="82" t="s">
        <v>97</v>
      </c>
      <c r="C24" s="81"/>
      <c r="D24" s="80"/>
      <c r="E24" s="80"/>
      <c r="F24" s="79"/>
      <c r="G24" s="78"/>
      <c r="H24" s="78"/>
      <c r="I24" s="78"/>
      <c r="J24" s="78"/>
      <c r="K24" s="77"/>
      <c r="M24" s="109" t="s">
        <v>97</v>
      </c>
      <c r="N24" s="81"/>
      <c r="O24" s="108" t="e">
        <f>AVERAGE(D24,D54,D85)</f>
        <v>#DIV/0!</v>
      </c>
      <c r="P24" s="108" t="e">
        <f>AVERAGE(E24,E54,E85)</f>
        <v>#DIV/0!</v>
      </c>
      <c r="Q24" s="108" t="e">
        <f>AVERAGE(F24,F54,F85)</f>
        <v>#DIV/0!</v>
      </c>
      <c r="R24" s="108" t="e">
        <f>AVERAGE(G24,G54,G85)</f>
        <v>#DIV/0!</v>
      </c>
      <c r="S24" s="108" t="e">
        <f>AVERAGE(H24,H54,H85)</f>
        <v>#DIV/0!</v>
      </c>
      <c r="T24" s="108" t="e">
        <f>AVERAGE(I24,I54,I85)</f>
        <v>#DIV/0!</v>
      </c>
      <c r="U24" s="108" t="e">
        <f>AVERAGE(J24,J54,J85)</f>
        <v>#DIV/0!</v>
      </c>
      <c r="V24" s="108" t="e">
        <f>AVERAGE(K24,K54,K85)</f>
        <v>#DIV/0!</v>
      </c>
      <c r="X24" s="82" t="s">
        <v>97</v>
      </c>
      <c r="Y24" s="108" t="e">
        <f>MEDIAN(D24,D54,D85)</f>
        <v>#NUM!</v>
      </c>
      <c r="Z24" s="108" t="e">
        <f>MEDIAN(E24,E54,E85)</f>
        <v>#NUM!</v>
      </c>
      <c r="AA24" s="108" t="e">
        <f>MEDIAN(F24,F54,F85)</f>
        <v>#NUM!</v>
      </c>
      <c r="AB24" s="108" t="e">
        <f>MEDIAN(G24,G54,G85)</f>
        <v>#NUM!</v>
      </c>
      <c r="AC24" s="108" t="e">
        <f>MEDIAN(H24,H54,H85)</f>
        <v>#NUM!</v>
      </c>
      <c r="AD24" s="108" t="e">
        <f>MEDIAN(I24,I54,I85)</f>
        <v>#NUM!</v>
      </c>
      <c r="AE24" s="108" t="e">
        <f>MEDIAN(J24,J54,J85)</f>
        <v>#NUM!</v>
      </c>
      <c r="AF24" s="107" t="e">
        <f>MEDIAN(K24,K54,K85)</f>
        <v>#NUM!</v>
      </c>
    </row>
    <row r="25" spans="1:32" s="48" customFormat="1" ht="24" customHeight="1" x14ac:dyDescent="0.15">
      <c r="B25" s="82" t="s">
        <v>96</v>
      </c>
      <c r="C25" s="81"/>
      <c r="D25" s="80"/>
      <c r="E25" s="80"/>
      <c r="F25" s="79"/>
      <c r="G25" s="78"/>
      <c r="H25" s="78"/>
      <c r="I25" s="78"/>
      <c r="J25" s="78"/>
      <c r="K25" s="77"/>
      <c r="M25" s="109" t="s">
        <v>96</v>
      </c>
      <c r="N25" s="81"/>
      <c r="O25" s="108" t="e">
        <f>AVERAGE(D25,D55,D86)</f>
        <v>#DIV/0!</v>
      </c>
      <c r="P25" s="108" t="e">
        <f>AVERAGE(E25,E55,E86)</f>
        <v>#DIV/0!</v>
      </c>
      <c r="Q25" s="108" t="e">
        <f>AVERAGE(F25,F55,F86)</f>
        <v>#DIV/0!</v>
      </c>
      <c r="R25" s="108" t="e">
        <f>AVERAGE(G25,G55,G86)</f>
        <v>#DIV/0!</v>
      </c>
      <c r="S25" s="108" t="e">
        <f>AVERAGE(H25,H55,H86)</f>
        <v>#DIV/0!</v>
      </c>
      <c r="T25" s="108" t="e">
        <f>AVERAGE(I25,I55,I86)</f>
        <v>#DIV/0!</v>
      </c>
      <c r="U25" s="108" t="e">
        <f>AVERAGE(J25,J55,J86)</f>
        <v>#DIV/0!</v>
      </c>
      <c r="V25" s="108" t="e">
        <f>AVERAGE(K25,K55,K86)</f>
        <v>#DIV/0!</v>
      </c>
      <c r="X25" s="82" t="s">
        <v>96</v>
      </c>
      <c r="Y25" s="108" t="e">
        <f>MEDIAN(D25,D55,D86)</f>
        <v>#NUM!</v>
      </c>
      <c r="Z25" s="108" t="e">
        <f>MEDIAN(E25,E55,E86)</f>
        <v>#NUM!</v>
      </c>
      <c r="AA25" s="108" t="e">
        <f>MEDIAN(F25,F55,F86)</f>
        <v>#NUM!</v>
      </c>
      <c r="AB25" s="108" t="e">
        <f>MEDIAN(G25,G55,G86)</f>
        <v>#NUM!</v>
      </c>
      <c r="AC25" s="108" t="e">
        <f>MEDIAN(H25,H55,H86)</f>
        <v>#NUM!</v>
      </c>
      <c r="AD25" s="108" t="e">
        <f>MEDIAN(I25,I55,I86)</f>
        <v>#NUM!</v>
      </c>
      <c r="AE25" s="108" t="e">
        <f>MEDIAN(J25,J55,J86)</f>
        <v>#NUM!</v>
      </c>
      <c r="AF25" s="107" t="e">
        <f>MEDIAN(K25,K55,K86)</f>
        <v>#NUM!</v>
      </c>
    </row>
    <row r="26" spans="1:32" s="48" customFormat="1" ht="24" customHeight="1" x14ac:dyDescent="0.15">
      <c r="B26" s="82" t="s">
        <v>95</v>
      </c>
      <c r="C26" s="81"/>
      <c r="D26" s="80"/>
      <c r="E26" s="80"/>
      <c r="F26" s="79"/>
      <c r="G26" s="78"/>
      <c r="H26" s="78"/>
      <c r="I26" s="78"/>
      <c r="J26" s="78"/>
      <c r="K26" s="77"/>
      <c r="M26" s="109" t="s">
        <v>95</v>
      </c>
      <c r="N26" s="81"/>
      <c r="O26" s="108" t="e">
        <f>AVERAGE(D26,D56,D87)</f>
        <v>#DIV/0!</v>
      </c>
      <c r="P26" s="108" t="e">
        <f>AVERAGE(E26,E56,E87)</f>
        <v>#DIV/0!</v>
      </c>
      <c r="Q26" s="108" t="e">
        <f>AVERAGE(F26,F56,F87)</f>
        <v>#DIV/0!</v>
      </c>
      <c r="R26" s="108" t="e">
        <f>AVERAGE(G26,G56,G87)</f>
        <v>#DIV/0!</v>
      </c>
      <c r="S26" s="108" t="e">
        <f>AVERAGE(H26,H56,H87)</f>
        <v>#DIV/0!</v>
      </c>
      <c r="T26" s="108" t="e">
        <f>AVERAGE(I26,I56,I87)</f>
        <v>#DIV/0!</v>
      </c>
      <c r="U26" s="108" t="e">
        <f>AVERAGE(J26,J56,J87)</f>
        <v>#DIV/0!</v>
      </c>
      <c r="V26" s="108" t="e">
        <f>AVERAGE(K26,K56,K87)</f>
        <v>#DIV/0!</v>
      </c>
      <c r="X26" s="82" t="s">
        <v>95</v>
      </c>
      <c r="Y26" s="108" t="e">
        <f>MEDIAN(D26,D56,D87)</f>
        <v>#NUM!</v>
      </c>
      <c r="Z26" s="108" t="e">
        <f>MEDIAN(E26,E56,E87)</f>
        <v>#NUM!</v>
      </c>
      <c r="AA26" s="108" t="e">
        <f>MEDIAN(F26,F56,F87)</f>
        <v>#NUM!</v>
      </c>
      <c r="AB26" s="108" t="e">
        <f>MEDIAN(G26,G56,G87)</f>
        <v>#NUM!</v>
      </c>
      <c r="AC26" s="108" t="e">
        <f>MEDIAN(H26,H56,H87)</f>
        <v>#NUM!</v>
      </c>
      <c r="AD26" s="108" t="e">
        <f>MEDIAN(I26,I56,I87)</f>
        <v>#NUM!</v>
      </c>
      <c r="AE26" s="108" t="e">
        <f>MEDIAN(J26,J56,J87)</f>
        <v>#NUM!</v>
      </c>
      <c r="AF26" s="107" t="e">
        <f>MEDIAN(K26,K56,K87)</f>
        <v>#NUM!</v>
      </c>
    </row>
    <row r="27" spans="1:32" s="48" customFormat="1" ht="24" customHeight="1" x14ac:dyDescent="0.15">
      <c r="B27" s="82" t="s">
        <v>94</v>
      </c>
      <c r="C27" s="81"/>
      <c r="D27" s="80"/>
      <c r="E27" s="80"/>
      <c r="F27" s="79"/>
      <c r="G27" s="78"/>
      <c r="H27" s="78"/>
      <c r="I27" s="78"/>
      <c r="J27" s="78"/>
      <c r="K27" s="77"/>
      <c r="M27" s="109" t="s">
        <v>94</v>
      </c>
      <c r="N27" s="81"/>
      <c r="O27" s="108" t="e">
        <f>AVERAGE(D27,D57,D88)</f>
        <v>#DIV/0!</v>
      </c>
      <c r="P27" s="108" t="e">
        <f>AVERAGE(E27,E57,E88)</f>
        <v>#DIV/0!</v>
      </c>
      <c r="Q27" s="108" t="e">
        <f>AVERAGE(F27,F57,F88)</f>
        <v>#DIV/0!</v>
      </c>
      <c r="R27" s="108" t="e">
        <f>AVERAGE(G27,G57,G88)</f>
        <v>#DIV/0!</v>
      </c>
      <c r="S27" s="108" t="e">
        <f>AVERAGE(H27,H57,H88)</f>
        <v>#DIV/0!</v>
      </c>
      <c r="T27" s="108" t="e">
        <f>AVERAGE(I27,I57,I88)</f>
        <v>#DIV/0!</v>
      </c>
      <c r="U27" s="108" t="e">
        <f>AVERAGE(J27,J57,J88)</f>
        <v>#DIV/0!</v>
      </c>
      <c r="V27" s="108" t="e">
        <f>AVERAGE(K27,K57,K88)</f>
        <v>#DIV/0!</v>
      </c>
      <c r="X27" s="82" t="s">
        <v>94</v>
      </c>
      <c r="Y27" s="108" t="e">
        <f>MEDIAN(D27,D57,D88)</f>
        <v>#NUM!</v>
      </c>
      <c r="Z27" s="108" t="e">
        <f>MEDIAN(E27,E57,E88)</f>
        <v>#NUM!</v>
      </c>
      <c r="AA27" s="108" t="e">
        <f>MEDIAN(F27,F57,F88)</f>
        <v>#NUM!</v>
      </c>
      <c r="AB27" s="108" t="e">
        <f>MEDIAN(G27,G57,G88)</f>
        <v>#NUM!</v>
      </c>
      <c r="AC27" s="108" t="e">
        <f>MEDIAN(H27,H57,H88)</f>
        <v>#NUM!</v>
      </c>
      <c r="AD27" s="108" t="e">
        <f>MEDIAN(I27,I57,I88)</f>
        <v>#NUM!</v>
      </c>
      <c r="AE27" s="108" t="e">
        <f>MEDIAN(J27,J57,J88)</f>
        <v>#NUM!</v>
      </c>
      <c r="AF27" s="107" t="e">
        <f>MEDIAN(K27,K57,K88)</f>
        <v>#NUM!</v>
      </c>
    </row>
    <row r="28" spans="1:32" s="48" customFormat="1" ht="24" customHeight="1" x14ac:dyDescent="0.15">
      <c r="B28" s="82" t="s">
        <v>93</v>
      </c>
      <c r="C28" s="81"/>
      <c r="D28" s="80"/>
      <c r="E28" s="80"/>
      <c r="F28" s="79"/>
      <c r="G28" s="78"/>
      <c r="H28" s="78"/>
      <c r="I28" s="78"/>
      <c r="J28" s="78"/>
      <c r="K28" s="77"/>
      <c r="M28" s="109" t="s">
        <v>93</v>
      </c>
      <c r="N28" s="81"/>
      <c r="O28" s="108" t="e">
        <f>AVERAGE(D28,D58,D89)</f>
        <v>#DIV/0!</v>
      </c>
      <c r="P28" s="108" t="e">
        <f>AVERAGE(E28,E58,E89)</f>
        <v>#DIV/0!</v>
      </c>
      <c r="Q28" s="108" t="e">
        <f>AVERAGE(F28,F58,F89)</f>
        <v>#DIV/0!</v>
      </c>
      <c r="R28" s="108" t="e">
        <f>AVERAGE(G28,G58,G89)</f>
        <v>#DIV/0!</v>
      </c>
      <c r="S28" s="108" t="e">
        <f>AVERAGE(H28,H58,H89)</f>
        <v>#DIV/0!</v>
      </c>
      <c r="T28" s="108" t="e">
        <f>AVERAGE(I28,I58,I89)</f>
        <v>#DIV/0!</v>
      </c>
      <c r="U28" s="108" t="e">
        <f>AVERAGE(J28,J58,J89)</f>
        <v>#DIV/0!</v>
      </c>
      <c r="V28" s="108" t="e">
        <f>AVERAGE(K28,K58,K89)</f>
        <v>#DIV/0!</v>
      </c>
      <c r="X28" s="82" t="s">
        <v>93</v>
      </c>
      <c r="Y28" s="108" t="e">
        <f>MEDIAN(D28,D58,D89)</f>
        <v>#NUM!</v>
      </c>
      <c r="Z28" s="108" t="e">
        <f>MEDIAN(E28,E58,E89)</f>
        <v>#NUM!</v>
      </c>
      <c r="AA28" s="108" t="e">
        <f>MEDIAN(F28,F58,F89)</f>
        <v>#NUM!</v>
      </c>
      <c r="AB28" s="108" t="e">
        <f>MEDIAN(G28,G58,G89)</f>
        <v>#NUM!</v>
      </c>
      <c r="AC28" s="108" t="e">
        <f>MEDIAN(H28,H58,H89)</f>
        <v>#NUM!</v>
      </c>
      <c r="AD28" s="108" t="e">
        <f>MEDIAN(I28,I58,I89)</f>
        <v>#NUM!</v>
      </c>
      <c r="AE28" s="108" t="e">
        <f>MEDIAN(J28,J58,J89)</f>
        <v>#NUM!</v>
      </c>
      <c r="AF28" s="107" t="e">
        <f>MEDIAN(K28,K58,K89)</f>
        <v>#NUM!</v>
      </c>
    </row>
    <row r="29" spans="1:32" s="48" customFormat="1" ht="24" customHeight="1" thickBot="1" x14ac:dyDescent="0.2">
      <c r="B29" s="82" t="s">
        <v>92</v>
      </c>
      <c r="C29" s="81"/>
      <c r="D29" s="80"/>
      <c r="E29" s="80"/>
      <c r="F29" s="79"/>
      <c r="G29" s="78"/>
      <c r="H29" s="78"/>
      <c r="I29" s="78"/>
      <c r="J29" s="78"/>
      <c r="K29" s="77"/>
      <c r="M29" s="106" t="s">
        <v>92</v>
      </c>
      <c r="N29" s="105"/>
      <c r="O29" s="102" t="e">
        <f>AVERAGE(D29,D59,D90)</f>
        <v>#DIV/0!</v>
      </c>
      <c r="P29" s="102" t="e">
        <f>AVERAGE(E29,E59,E90)</f>
        <v>#DIV/0!</v>
      </c>
      <c r="Q29" s="102" t="e">
        <f>AVERAGE(F29,F59,F90)</f>
        <v>#DIV/0!</v>
      </c>
      <c r="R29" s="102" t="e">
        <f>AVERAGE(G29,G59,G90)</f>
        <v>#DIV/0!</v>
      </c>
      <c r="S29" s="102" t="e">
        <f>AVERAGE(H29,H59,H90)</f>
        <v>#DIV/0!</v>
      </c>
      <c r="T29" s="102" t="e">
        <f>AVERAGE(I29,I59,I90)</f>
        <v>#DIV/0!</v>
      </c>
      <c r="U29" s="102" t="e">
        <f>AVERAGE(J29,J59,J90)</f>
        <v>#DIV/0!</v>
      </c>
      <c r="V29" s="102" t="e">
        <f>AVERAGE(K29,K59,K90)</f>
        <v>#DIV/0!</v>
      </c>
      <c r="W29" s="104"/>
      <c r="X29" s="103" t="s">
        <v>92</v>
      </c>
      <c r="Y29" s="102" t="e">
        <f>MEDIAN(D29,D59,D90)</f>
        <v>#NUM!</v>
      </c>
      <c r="Z29" s="102" t="e">
        <f>MEDIAN(E29,E59,E90)</f>
        <v>#NUM!</v>
      </c>
      <c r="AA29" s="102" t="e">
        <f>MEDIAN(F29,F59,F90)</f>
        <v>#NUM!</v>
      </c>
      <c r="AB29" s="102" t="e">
        <f>MEDIAN(G29,G59,G90)</f>
        <v>#NUM!</v>
      </c>
      <c r="AC29" s="102" t="e">
        <f>MEDIAN(H29,H59,H90)</f>
        <v>#NUM!</v>
      </c>
      <c r="AD29" s="102" t="e">
        <f>MEDIAN(I29,I59,I90)</f>
        <v>#NUM!</v>
      </c>
      <c r="AE29" s="102" t="e">
        <f>MEDIAN(J29,J59,J90)</f>
        <v>#NUM!</v>
      </c>
      <c r="AF29" s="101" t="e">
        <f>MEDIAN(K29,K59,K90)</f>
        <v>#NUM!</v>
      </c>
    </row>
    <row r="36" spans="1:11" ht="21" customHeight="1" x14ac:dyDescent="0.15">
      <c r="D36" s="23">
        <v>2022</v>
      </c>
      <c r="E36" s="23">
        <v>2021</v>
      </c>
      <c r="F36" s="23">
        <v>2020</v>
      </c>
      <c r="G36" s="23">
        <v>2019</v>
      </c>
      <c r="H36" s="23">
        <v>2018</v>
      </c>
      <c r="I36" s="23">
        <v>2017</v>
      </c>
      <c r="J36" s="23">
        <v>2016</v>
      </c>
      <c r="K36" s="23">
        <v>2015</v>
      </c>
    </row>
    <row r="37" spans="1:11" ht="21" customHeight="1" x14ac:dyDescent="0.15">
      <c r="A37" s="93" t="s">
        <v>112</v>
      </c>
      <c r="B37" s="94"/>
      <c r="C37" s="93"/>
      <c r="D37" s="92"/>
      <c r="E37" s="92">
        <f>E38+E39</f>
        <v>11912256</v>
      </c>
      <c r="F37" s="92">
        <f>F38+F39</f>
        <v>9781223</v>
      </c>
      <c r="G37" s="92">
        <f>G38+G39</f>
        <v>10667285</v>
      </c>
      <c r="H37" s="92">
        <f>H38+H39</f>
        <v>0</v>
      </c>
      <c r="I37" s="92">
        <f>I38+I39</f>
        <v>5338220</v>
      </c>
      <c r="J37" s="92">
        <f>J38+J39</f>
        <v>4355148</v>
      </c>
      <c r="K37" s="92">
        <f>K38+K39</f>
        <v>9304955</v>
      </c>
    </row>
    <row r="38" spans="1:11" ht="21" customHeight="1" x14ac:dyDescent="0.15">
      <c r="B38" s="96" t="s">
        <v>111</v>
      </c>
      <c r="C38" s="96"/>
      <c r="D38" s="95"/>
      <c r="E38" s="95">
        <v>254663</v>
      </c>
      <c r="F38" s="95">
        <v>269282</v>
      </c>
      <c r="G38" s="95">
        <v>134264</v>
      </c>
      <c r="H38" s="95"/>
      <c r="I38" s="95">
        <v>55578</v>
      </c>
      <c r="J38" s="95">
        <v>37093</v>
      </c>
      <c r="K38" s="95">
        <v>57378</v>
      </c>
    </row>
    <row r="39" spans="1:11" ht="21" customHeight="1" x14ac:dyDescent="0.15">
      <c r="B39" s="96" t="s">
        <v>110</v>
      </c>
      <c r="C39" s="96"/>
      <c r="D39" s="95"/>
      <c r="E39" s="95">
        <v>11657593</v>
      </c>
      <c r="F39" s="95">
        <v>9511941</v>
      </c>
      <c r="G39" s="95">
        <v>10533021</v>
      </c>
      <c r="H39" s="95"/>
      <c r="I39" s="95">
        <v>5282642</v>
      </c>
      <c r="J39" s="95">
        <v>4318055</v>
      </c>
      <c r="K39" s="95">
        <v>9247577</v>
      </c>
    </row>
    <row r="40" spans="1:11" ht="21" customHeight="1" x14ac:dyDescent="0.15">
      <c r="A40" s="93" t="s">
        <v>109</v>
      </c>
      <c r="B40" s="94"/>
      <c r="C40" s="93"/>
      <c r="D40" s="92"/>
      <c r="E40" s="92">
        <f>E41+E43+E46</f>
        <v>2229265</v>
      </c>
      <c r="F40" s="92">
        <f>F41+F43+F46</f>
        <v>1488089</v>
      </c>
      <c r="G40" s="92">
        <f>G41+G43+G46</f>
        <v>2129772</v>
      </c>
      <c r="H40" s="92">
        <f>H41+H43+H46</f>
        <v>0</v>
      </c>
      <c r="I40" s="92">
        <f>I41+I43+I46</f>
        <v>1352236</v>
      </c>
      <c r="J40" s="92">
        <f>J41+J43+J46</f>
        <v>1389197</v>
      </c>
      <c r="K40" s="92">
        <f>K41+K43+K46</f>
        <v>1797413</v>
      </c>
    </row>
    <row r="41" spans="1:11" ht="21" customHeight="1" x14ac:dyDescent="0.15">
      <c r="B41" s="96" t="s">
        <v>34</v>
      </c>
      <c r="C41" s="96"/>
      <c r="D41" s="95"/>
      <c r="E41" s="95">
        <f>E42</f>
        <v>540705</v>
      </c>
      <c r="F41" s="95">
        <f>F42</f>
        <v>415440</v>
      </c>
      <c r="G41" s="95">
        <f>G42</f>
        <v>468673</v>
      </c>
      <c r="H41" s="95">
        <f>H42</f>
        <v>0</v>
      </c>
      <c r="I41" s="95">
        <f>I42</f>
        <v>438174</v>
      </c>
      <c r="J41" s="95">
        <f>J42</f>
        <v>458511</v>
      </c>
      <c r="K41" s="95">
        <f>K42</f>
        <v>480958</v>
      </c>
    </row>
    <row r="42" spans="1:11" ht="21" customHeight="1" x14ac:dyDescent="0.15">
      <c r="C42" s="98" t="s">
        <v>108</v>
      </c>
      <c r="D42" s="97"/>
      <c r="E42" s="97">
        <v>540705</v>
      </c>
      <c r="F42" s="97">
        <v>415440</v>
      </c>
      <c r="G42" s="97">
        <v>468673</v>
      </c>
      <c r="H42" s="97"/>
      <c r="I42" s="97">
        <v>438174</v>
      </c>
      <c r="J42" s="97">
        <v>458511</v>
      </c>
      <c r="K42" s="97">
        <v>480958</v>
      </c>
    </row>
    <row r="43" spans="1:11" ht="21" customHeight="1" x14ac:dyDescent="0.15">
      <c r="B43" s="96" t="s">
        <v>107</v>
      </c>
      <c r="C43" s="100"/>
      <c r="D43" s="95"/>
      <c r="E43" s="95">
        <f>E44+E45</f>
        <v>1676083</v>
      </c>
      <c r="F43" s="95">
        <f>F44+F45</f>
        <v>663705</v>
      </c>
      <c r="G43" s="95">
        <f>G44+G45</f>
        <v>234128</v>
      </c>
      <c r="H43" s="95">
        <f>H44+H45</f>
        <v>0</v>
      </c>
      <c r="I43" s="95">
        <f>I44+I45</f>
        <v>284045</v>
      </c>
      <c r="J43" s="95">
        <f>J44+J45</f>
        <v>70461</v>
      </c>
      <c r="K43" s="95">
        <f>K44+K45</f>
        <v>65246</v>
      </c>
    </row>
    <row r="44" spans="1:11" ht="21" customHeight="1" x14ac:dyDescent="0.2">
      <c r="B44" s="99"/>
      <c r="C44" s="98" t="s">
        <v>106</v>
      </c>
      <c r="D44" s="97"/>
      <c r="E44" s="97">
        <v>151626</v>
      </c>
      <c r="F44" s="97">
        <v>122187</v>
      </c>
      <c r="G44" s="97">
        <v>97548</v>
      </c>
      <c r="H44" s="97"/>
      <c r="I44" s="97">
        <v>65766</v>
      </c>
      <c r="J44" s="97">
        <v>22489</v>
      </c>
      <c r="K44" s="97">
        <v>4683</v>
      </c>
    </row>
    <row r="45" spans="1:11" ht="21" customHeight="1" x14ac:dyDescent="0.15">
      <c r="C45" s="98" t="s">
        <v>105</v>
      </c>
      <c r="D45" s="97"/>
      <c r="E45" s="97">
        <v>1524457</v>
      </c>
      <c r="F45" s="97">
        <v>541518</v>
      </c>
      <c r="G45" s="97">
        <v>136580</v>
      </c>
      <c r="H45" s="97"/>
      <c r="I45" s="97">
        <v>218279</v>
      </c>
      <c r="J45" s="97">
        <v>47972</v>
      </c>
      <c r="K45" s="97">
        <v>60563</v>
      </c>
    </row>
    <row r="46" spans="1:11" ht="21" customHeight="1" x14ac:dyDescent="0.15">
      <c r="B46" s="96" t="s">
        <v>113</v>
      </c>
      <c r="C46" s="96"/>
      <c r="D46" s="95"/>
      <c r="E46" s="95">
        <v>12477</v>
      </c>
      <c r="F46" s="95">
        <v>408944</v>
      </c>
      <c r="G46" s="95">
        <f>776971+650000</f>
        <v>1426971</v>
      </c>
      <c r="H46" s="95"/>
      <c r="I46" s="95">
        <v>630017</v>
      </c>
      <c r="J46" s="95">
        <v>860225</v>
      </c>
      <c r="K46" s="95">
        <v>1251209</v>
      </c>
    </row>
    <row r="47" spans="1:11" ht="21" customHeight="1" x14ac:dyDescent="0.15">
      <c r="A47" s="93" t="s">
        <v>103</v>
      </c>
      <c r="B47" s="94"/>
      <c r="C47" s="93"/>
      <c r="D47" s="92"/>
      <c r="E47" s="92">
        <v>1616951</v>
      </c>
      <c r="F47" s="92">
        <v>1500842</v>
      </c>
      <c r="G47" s="92">
        <v>1407854</v>
      </c>
      <c r="H47" s="92"/>
      <c r="I47" s="92">
        <v>1245124</v>
      </c>
      <c r="J47" s="92">
        <v>814142</v>
      </c>
      <c r="K47" s="92">
        <v>1271106</v>
      </c>
    </row>
    <row r="48" spans="1:11" ht="21" customHeight="1" x14ac:dyDescent="0.15"/>
    <row r="49" spans="1:11" ht="21" customHeight="1" x14ac:dyDescent="0.15">
      <c r="A49" s="48"/>
      <c r="B49" s="91" t="s">
        <v>102</v>
      </c>
      <c r="C49" s="90"/>
      <c r="D49" s="80"/>
      <c r="E49" s="80"/>
      <c r="F49" s="79"/>
      <c r="G49" s="79"/>
      <c r="H49" s="79"/>
      <c r="I49" s="79"/>
      <c r="J49" s="79"/>
      <c r="K49" s="89"/>
    </row>
    <row r="50" spans="1:11" ht="21" customHeight="1" x14ac:dyDescent="0.15">
      <c r="A50" s="48"/>
      <c r="B50" s="82" t="s">
        <v>101</v>
      </c>
      <c r="C50" s="81"/>
      <c r="D50" s="80"/>
      <c r="E50" s="80"/>
      <c r="F50" s="79"/>
      <c r="G50" s="79"/>
      <c r="H50" s="78"/>
      <c r="I50" s="78"/>
      <c r="J50" s="78"/>
      <c r="K50" s="77"/>
    </row>
    <row r="51" spans="1:11" ht="21" customHeight="1" x14ac:dyDescent="0.15">
      <c r="A51" s="48"/>
      <c r="B51" s="82" t="s">
        <v>100</v>
      </c>
      <c r="C51" s="81"/>
      <c r="D51" s="80"/>
      <c r="E51" s="80"/>
      <c r="F51" s="79"/>
      <c r="G51" s="79"/>
      <c r="H51" s="78"/>
      <c r="I51" s="78"/>
      <c r="J51" s="78"/>
      <c r="K51" s="77"/>
    </row>
    <row r="52" spans="1:11" s="48" customFormat="1" ht="24" customHeight="1" x14ac:dyDescent="0.15">
      <c r="B52" s="82" t="s">
        <v>99</v>
      </c>
      <c r="C52" s="81"/>
      <c r="D52" s="80"/>
      <c r="E52" s="80"/>
      <c r="F52" s="79"/>
      <c r="G52" s="79"/>
      <c r="H52" s="84"/>
      <c r="I52" s="84"/>
      <c r="J52" s="84"/>
      <c r="K52" s="83"/>
    </row>
    <row r="53" spans="1:11" s="48" customFormat="1" ht="24" customHeight="1" x14ac:dyDescent="0.15">
      <c r="B53" s="82" t="s">
        <v>98</v>
      </c>
      <c r="C53" s="81"/>
      <c r="D53" s="80"/>
      <c r="E53" s="80"/>
      <c r="F53" s="79"/>
      <c r="G53" s="79"/>
      <c r="H53" s="84"/>
      <c r="I53" s="84"/>
      <c r="J53" s="84"/>
      <c r="K53" s="83"/>
    </row>
    <row r="54" spans="1:11" s="48" customFormat="1" ht="24" customHeight="1" x14ac:dyDescent="0.15">
      <c r="B54" s="82" t="s">
        <v>97</v>
      </c>
      <c r="C54" s="81"/>
      <c r="D54" s="80"/>
      <c r="E54" s="80"/>
      <c r="F54" s="79"/>
      <c r="G54" s="79"/>
      <c r="H54" s="78"/>
      <c r="I54" s="78"/>
      <c r="J54" s="78"/>
      <c r="K54" s="77"/>
    </row>
    <row r="55" spans="1:11" s="48" customFormat="1" ht="24" customHeight="1" x14ac:dyDescent="0.15">
      <c r="B55" s="82" t="s">
        <v>96</v>
      </c>
      <c r="C55" s="81"/>
      <c r="D55" s="80"/>
      <c r="E55" s="80"/>
      <c r="F55" s="79"/>
      <c r="G55" s="79"/>
      <c r="H55" s="78"/>
      <c r="I55" s="78"/>
      <c r="J55" s="78"/>
      <c r="K55" s="77"/>
    </row>
    <row r="56" spans="1:11" s="48" customFormat="1" ht="24" customHeight="1" x14ac:dyDescent="0.15">
      <c r="B56" s="82" t="s">
        <v>95</v>
      </c>
      <c r="C56" s="81"/>
      <c r="D56" s="80"/>
      <c r="E56" s="80"/>
      <c r="F56" s="79"/>
      <c r="G56" s="79"/>
      <c r="H56" s="78"/>
      <c r="I56" s="78"/>
      <c r="J56" s="78"/>
      <c r="K56" s="77"/>
    </row>
    <row r="57" spans="1:11" s="48" customFormat="1" ht="24" customHeight="1" x14ac:dyDescent="0.15">
      <c r="B57" s="82" t="s">
        <v>94</v>
      </c>
      <c r="C57" s="81"/>
      <c r="D57" s="80"/>
      <c r="E57" s="80"/>
      <c r="F57" s="79"/>
      <c r="G57" s="79"/>
      <c r="H57" s="78"/>
      <c r="I57" s="78"/>
      <c r="J57" s="78"/>
      <c r="K57" s="77"/>
    </row>
    <row r="58" spans="1:11" s="48" customFormat="1" ht="24" customHeight="1" x14ac:dyDescent="0.15">
      <c r="B58" s="82" t="s">
        <v>93</v>
      </c>
      <c r="C58" s="81"/>
      <c r="D58" s="80"/>
      <c r="E58" s="80"/>
      <c r="F58" s="79"/>
      <c r="G58" s="79"/>
      <c r="H58" s="78"/>
      <c r="I58" s="78"/>
      <c r="J58" s="78"/>
      <c r="K58" s="77"/>
    </row>
    <row r="59" spans="1:11" s="48" customFormat="1" ht="24" customHeight="1" x14ac:dyDescent="0.15">
      <c r="B59" s="82" t="s">
        <v>92</v>
      </c>
      <c r="C59" s="81"/>
      <c r="D59" s="80"/>
      <c r="E59" s="80"/>
      <c r="F59" s="79"/>
      <c r="G59" s="79"/>
      <c r="H59" s="78"/>
      <c r="I59" s="78"/>
      <c r="J59" s="78"/>
      <c r="K59" s="77"/>
    </row>
    <row r="67" spans="1:11" ht="21" customHeight="1" x14ac:dyDescent="0.15">
      <c r="D67" s="23">
        <v>2022</v>
      </c>
      <c r="E67" s="23">
        <v>2021</v>
      </c>
      <c r="F67" s="23">
        <v>2020</v>
      </c>
      <c r="G67" s="23">
        <v>2019</v>
      </c>
      <c r="H67" s="23">
        <v>2018</v>
      </c>
      <c r="I67" s="23">
        <v>2017</v>
      </c>
      <c r="J67" s="23">
        <v>2016</v>
      </c>
      <c r="K67" s="23">
        <v>2015</v>
      </c>
    </row>
    <row r="68" spans="1:11" ht="21" customHeight="1" x14ac:dyDescent="0.15">
      <c r="A68" s="93" t="s">
        <v>112</v>
      </c>
      <c r="B68" s="94"/>
      <c r="C68" s="93"/>
      <c r="D68" s="92"/>
      <c r="E68" s="92">
        <f>E69+E70</f>
        <v>10624673</v>
      </c>
      <c r="F68" s="92">
        <f>F69+F70</f>
        <v>11957616</v>
      </c>
      <c r="G68" s="92">
        <f>G69+G70</f>
        <v>10198561</v>
      </c>
      <c r="H68" s="92">
        <f>H69+H70</f>
        <v>9572223</v>
      </c>
      <c r="I68" s="92">
        <f>I69+I70</f>
        <v>0</v>
      </c>
      <c r="J68" s="92">
        <f>J69+J70</f>
        <v>7168531</v>
      </c>
      <c r="K68" s="92">
        <f>K69+K70</f>
        <v>6257714</v>
      </c>
    </row>
    <row r="69" spans="1:11" ht="21" customHeight="1" x14ac:dyDescent="0.15">
      <c r="B69" s="96" t="s">
        <v>111</v>
      </c>
      <c r="C69" s="96"/>
      <c r="D69" s="95"/>
      <c r="E69" s="95">
        <v>1433371</v>
      </c>
      <c r="F69" s="95">
        <v>1519954</v>
      </c>
      <c r="G69" s="95">
        <v>1347206</v>
      </c>
      <c r="H69" s="95">
        <v>1195549</v>
      </c>
      <c r="I69" s="95"/>
      <c r="J69" s="95">
        <v>581306</v>
      </c>
      <c r="K69" s="95">
        <v>479572</v>
      </c>
    </row>
    <row r="70" spans="1:11" ht="21" customHeight="1" x14ac:dyDescent="0.15">
      <c r="B70" s="96" t="s">
        <v>110</v>
      </c>
      <c r="C70" s="96"/>
      <c r="D70" s="95"/>
      <c r="E70" s="95">
        <v>9191302</v>
      </c>
      <c r="F70" s="95">
        <v>10437662</v>
      </c>
      <c r="G70" s="95">
        <v>8851355</v>
      </c>
      <c r="H70" s="95">
        <v>8376674</v>
      </c>
      <c r="I70" s="95"/>
      <c r="J70" s="95">
        <v>6587225</v>
      </c>
      <c r="K70" s="95">
        <v>5778142</v>
      </c>
    </row>
    <row r="71" spans="1:11" ht="21" customHeight="1" x14ac:dyDescent="0.15">
      <c r="A71" s="93" t="s">
        <v>109</v>
      </c>
      <c r="B71" s="94"/>
      <c r="C71" s="93"/>
      <c r="D71" s="92"/>
      <c r="E71" s="92">
        <f>E72+E74+E77</f>
        <v>2068690</v>
      </c>
      <c r="F71" s="92">
        <f>F72+F74+F77</f>
        <v>2433996</v>
      </c>
      <c r="G71" s="92">
        <f>G72+G74+G77</f>
        <v>2499662</v>
      </c>
      <c r="H71" s="92">
        <f>H72+H74+H77</f>
        <v>2409981</v>
      </c>
      <c r="I71" s="92">
        <f>I72+I74+I77</f>
        <v>0</v>
      </c>
      <c r="J71" s="92">
        <f>J72+J74+J77</f>
        <v>2155634</v>
      </c>
      <c r="K71" s="92">
        <f>K72+K74+K77</f>
        <v>1590273</v>
      </c>
    </row>
    <row r="72" spans="1:11" ht="21" customHeight="1" x14ac:dyDescent="0.15">
      <c r="B72" s="96" t="s">
        <v>34</v>
      </c>
      <c r="C72" s="96"/>
      <c r="D72" s="95"/>
      <c r="E72" s="95">
        <f>E73</f>
        <v>1288708</v>
      </c>
      <c r="F72" s="95">
        <f>F73</f>
        <v>1283403</v>
      </c>
      <c r="G72" s="95">
        <f>G73</f>
        <v>1218624</v>
      </c>
      <c r="H72" s="95">
        <f>H73</f>
        <v>1062945</v>
      </c>
      <c r="I72" s="95">
        <f>I73</f>
        <v>0</v>
      </c>
      <c r="J72" s="95">
        <f>J73</f>
        <v>733238</v>
      </c>
      <c r="K72" s="95">
        <f>K73</f>
        <v>640220</v>
      </c>
    </row>
    <row r="73" spans="1:11" ht="21" customHeight="1" x14ac:dyDescent="0.15">
      <c r="C73" s="98" t="s">
        <v>108</v>
      </c>
      <c r="D73" s="97"/>
      <c r="E73" s="97">
        <v>1288708</v>
      </c>
      <c r="F73" s="97">
        <v>1283403</v>
      </c>
      <c r="G73" s="97">
        <v>1218624</v>
      </c>
      <c r="H73" s="97">
        <v>1062945</v>
      </c>
      <c r="I73" s="97"/>
      <c r="J73" s="97">
        <v>733238</v>
      </c>
      <c r="K73" s="97">
        <v>640220</v>
      </c>
    </row>
    <row r="74" spans="1:11" ht="21" customHeight="1" x14ac:dyDescent="0.15">
      <c r="B74" s="96" t="s">
        <v>107</v>
      </c>
      <c r="C74" s="100"/>
      <c r="D74" s="95"/>
      <c r="E74" s="95">
        <f>E75+E76</f>
        <v>735193</v>
      </c>
      <c r="F74" s="95">
        <f>F75+F76</f>
        <v>1078086</v>
      </c>
      <c r="G74" s="95">
        <f>G75+G76</f>
        <v>1119188</v>
      </c>
      <c r="H74" s="95">
        <f>H75+H76</f>
        <v>1217597</v>
      </c>
      <c r="I74" s="95"/>
      <c r="J74" s="95">
        <f>J75+J76</f>
        <v>1335502</v>
      </c>
      <c r="K74" s="95">
        <f>K75+K76</f>
        <v>906621</v>
      </c>
    </row>
    <row r="75" spans="1:11" ht="21" customHeight="1" x14ac:dyDescent="0.2">
      <c r="B75" s="99"/>
      <c r="C75" s="98" t="s">
        <v>106</v>
      </c>
      <c r="D75" s="97"/>
      <c r="E75" s="97">
        <v>4019</v>
      </c>
      <c r="F75" s="97">
        <v>5174</v>
      </c>
      <c r="G75" s="97">
        <v>4228</v>
      </c>
      <c r="H75" s="97">
        <v>3641</v>
      </c>
      <c r="I75" s="97"/>
      <c r="J75" s="97">
        <v>31286</v>
      </c>
      <c r="K75" s="97">
        <v>180354</v>
      </c>
    </row>
    <row r="76" spans="1:11" ht="21" customHeight="1" x14ac:dyDescent="0.15">
      <c r="C76" s="98" t="s">
        <v>105</v>
      </c>
      <c r="D76" s="97"/>
      <c r="E76" s="97">
        <v>731174</v>
      </c>
      <c r="F76" s="97">
        <v>1072912</v>
      </c>
      <c r="G76" s="97">
        <v>1114960</v>
      </c>
      <c r="H76" s="97">
        <v>1213956</v>
      </c>
      <c r="I76" s="97"/>
      <c r="J76" s="97">
        <v>1304216</v>
      </c>
      <c r="K76" s="97">
        <v>726267</v>
      </c>
    </row>
    <row r="77" spans="1:11" ht="21" customHeight="1" x14ac:dyDescent="0.15">
      <c r="B77" s="96" t="s">
        <v>104</v>
      </c>
      <c r="C77" s="96"/>
      <c r="D77" s="96"/>
      <c r="E77" s="96">
        <v>44789</v>
      </c>
      <c r="F77" s="95">
        <v>72507</v>
      </c>
      <c r="G77" s="95">
        <v>161850</v>
      </c>
      <c r="H77" s="95">
        <v>129439</v>
      </c>
      <c r="I77" s="95"/>
      <c r="J77" s="95">
        <v>86894</v>
      </c>
      <c r="K77" s="95">
        <v>43432</v>
      </c>
    </row>
    <row r="78" spans="1:11" ht="21" customHeight="1" x14ac:dyDescent="0.15">
      <c r="A78" s="93" t="s">
        <v>103</v>
      </c>
      <c r="B78" s="94"/>
      <c r="C78" s="93"/>
      <c r="D78" s="92"/>
      <c r="E78" s="92">
        <v>2133324</v>
      </c>
      <c r="F78" s="92">
        <v>2302570</v>
      </c>
      <c r="G78" s="92">
        <v>2194435</v>
      </c>
      <c r="H78" s="92">
        <v>1657873</v>
      </c>
      <c r="I78" s="92"/>
      <c r="J78" s="92">
        <v>1805938</v>
      </c>
      <c r="K78" s="92">
        <v>1635166</v>
      </c>
    </row>
    <row r="79" spans="1:11" ht="21" customHeight="1" x14ac:dyDescent="0.15"/>
    <row r="80" spans="1:11" ht="21" customHeight="1" x14ac:dyDescent="0.15">
      <c r="A80" s="48"/>
      <c r="B80" s="91" t="s">
        <v>102</v>
      </c>
      <c r="C80" s="90"/>
      <c r="D80" s="80"/>
      <c r="E80" s="80"/>
      <c r="F80" s="79"/>
      <c r="G80" s="79"/>
      <c r="H80" s="79"/>
      <c r="I80" s="79"/>
      <c r="J80" s="79"/>
      <c r="K80" s="89"/>
    </row>
    <row r="81" spans="1:11" ht="21" customHeight="1" x14ac:dyDescent="0.15">
      <c r="A81" s="48"/>
      <c r="B81" s="82" t="s">
        <v>101</v>
      </c>
      <c r="C81" s="81"/>
      <c r="D81" s="80"/>
      <c r="E81" s="80"/>
      <c r="F81" s="79"/>
      <c r="G81" s="78"/>
      <c r="H81" s="78"/>
      <c r="I81" s="78"/>
      <c r="J81" s="78"/>
      <c r="K81" s="77"/>
    </row>
    <row r="82" spans="1:11" ht="21" customHeight="1" x14ac:dyDescent="0.15">
      <c r="A82" s="48"/>
      <c r="B82" s="88" t="s">
        <v>100</v>
      </c>
      <c r="C82" s="87"/>
      <c r="D82" s="80"/>
      <c r="E82" s="80"/>
      <c r="F82" s="79"/>
      <c r="G82" s="86"/>
      <c r="H82" s="86"/>
      <c r="I82" s="86"/>
      <c r="J82" s="86"/>
      <c r="K82" s="85"/>
    </row>
    <row r="83" spans="1:11" ht="21" customHeight="1" x14ac:dyDescent="0.15">
      <c r="B83" s="82" t="s">
        <v>99</v>
      </c>
      <c r="C83" s="81"/>
      <c r="D83" s="80"/>
      <c r="E83" s="80"/>
      <c r="F83" s="79"/>
      <c r="G83" s="84"/>
      <c r="H83" s="84"/>
      <c r="I83" s="84"/>
      <c r="J83" s="84"/>
      <c r="K83" s="83"/>
    </row>
    <row r="84" spans="1:11" ht="21" customHeight="1" x14ac:dyDescent="0.15">
      <c r="B84" s="82" t="s">
        <v>98</v>
      </c>
      <c r="C84" s="81"/>
      <c r="D84" s="80"/>
      <c r="E84" s="80"/>
      <c r="F84" s="79"/>
      <c r="G84" s="84"/>
      <c r="H84" s="84"/>
      <c r="I84" s="84"/>
      <c r="J84" s="84"/>
      <c r="K84" s="83"/>
    </row>
    <row r="85" spans="1:11" ht="21" customHeight="1" x14ac:dyDescent="0.15">
      <c r="B85" s="82" t="s">
        <v>97</v>
      </c>
      <c r="C85" s="81"/>
      <c r="D85" s="80"/>
      <c r="E85" s="80"/>
      <c r="F85" s="79"/>
      <c r="G85" s="78"/>
      <c r="H85" s="78"/>
      <c r="I85" s="78"/>
      <c r="J85" s="78"/>
      <c r="K85" s="77"/>
    </row>
    <row r="86" spans="1:11" ht="21" customHeight="1" x14ac:dyDescent="0.15">
      <c r="B86" s="82" t="s">
        <v>96</v>
      </c>
      <c r="C86" s="81"/>
      <c r="D86" s="80"/>
      <c r="E86" s="80"/>
      <c r="F86" s="79"/>
      <c r="G86" s="78"/>
      <c r="H86" s="78"/>
      <c r="I86" s="78"/>
      <c r="J86" s="78"/>
      <c r="K86" s="77"/>
    </row>
    <row r="87" spans="1:11" ht="21" customHeight="1" x14ac:dyDescent="0.15">
      <c r="B87" s="82" t="s">
        <v>95</v>
      </c>
      <c r="C87" s="81"/>
      <c r="D87" s="80"/>
      <c r="E87" s="80"/>
      <c r="F87" s="79"/>
      <c r="G87" s="78"/>
      <c r="H87" s="78"/>
      <c r="I87" s="78"/>
      <c r="J87" s="78"/>
      <c r="K87" s="77"/>
    </row>
    <row r="88" spans="1:11" ht="21" customHeight="1" x14ac:dyDescent="0.15">
      <c r="B88" s="82" t="s">
        <v>94</v>
      </c>
      <c r="C88" s="81"/>
      <c r="D88" s="80"/>
      <c r="E88" s="80"/>
      <c r="F88" s="79"/>
      <c r="G88" s="78"/>
      <c r="H88" s="78"/>
      <c r="I88" s="78"/>
      <c r="J88" s="78"/>
      <c r="K88" s="77"/>
    </row>
    <row r="89" spans="1:11" ht="21" customHeight="1" x14ac:dyDescent="0.15">
      <c r="B89" s="82" t="s">
        <v>93</v>
      </c>
      <c r="C89" s="81"/>
      <c r="D89" s="80"/>
      <c r="E89" s="80"/>
      <c r="F89" s="79"/>
      <c r="G89" s="78"/>
      <c r="H89" s="78"/>
      <c r="I89" s="78"/>
      <c r="J89" s="78"/>
      <c r="K89" s="77"/>
    </row>
    <row r="90" spans="1:11" ht="21" customHeight="1" x14ac:dyDescent="0.15">
      <c r="B90" s="82" t="s">
        <v>92</v>
      </c>
      <c r="C90" s="81"/>
      <c r="D90" s="80"/>
      <c r="E90" s="80"/>
      <c r="F90" s="79"/>
      <c r="G90" s="78"/>
      <c r="H90" s="78"/>
      <c r="I90" s="78"/>
      <c r="J90" s="78"/>
      <c r="K90" s="77"/>
    </row>
  </sheetData>
  <mergeCells count="3">
    <mergeCell ref="M17:V17"/>
    <mergeCell ref="X17:AF17"/>
    <mergeCell ref="M15:AF1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zoomScale="120" zoomScaleNormal="120" workbookViewId="0">
      <selection activeCell="A17" sqref="A17:XFD18"/>
    </sheetView>
  </sheetViews>
  <sheetFormatPr baseColWidth="10" defaultColWidth="8.83203125" defaultRowHeight="13" outlineLevelRow="1" outlineLevelCol="1" x14ac:dyDescent="0.15"/>
  <cols>
    <col min="1" max="1" width="61" customWidth="1"/>
    <col min="2" max="6" width="14.5" customWidth="1"/>
    <col min="7" max="8" width="14.5" customWidth="1" outlineLevel="1"/>
  </cols>
  <sheetData>
    <row r="1" spans="1:8" ht="15" thickBot="1" x14ac:dyDescent="0.2">
      <c r="A1" s="59" t="s">
        <v>4</v>
      </c>
      <c r="B1" s="59"/>
      <c r="C1" s="59"/>
      <c r="D1" s="59"/>
      <c r="E1" s="59"/>
      <c r="F1" s="59"/>
      <c r="G1" s="59"/>
      <c r="H1" s="59"/>
    </row>
    <row r="2" spans="1:8" ht="15" thickTop="1" x14ac:dyDescent="0.15">
      <c r="A2" s="1"/>
      <c r="B2" s="58">
        <v>2022</v>
      </c>
      <c r="C2" s="58">
        <v>2021</v>
      </c>
      <c r="D2" s="58">
        <v>2020</v>
      </c>
      <c r="E2" s="58">
        <v>2019</v>
      </c>
      <c r="F2" s="58">
        <v>2018</v>
      </c>
      <c r="G2" s="60">
        <v>2017</v>
      </c>
      <c r="H2" s="60">
        <v>2016</v>
      </c>
    </row>
    <row r="3" spans="1:8" x14ac:dyDescent="0.15">
      <c r="B3" s="58"/>
      <c r="C3" s="58"/>
      <c r="D3" s="58"/>
      <c r="E3" s="58">
        <v>2019</v>
      </c>
      <c r="F3" s="58"/>
      <c r="G3" s="60"/>
      <c r="H3" s="60"/>
    </row>
    <row r="4" spans="1:8" ht="15" thickBot="1" x14ac:dyDescent="0.2">
      <c r="A4" s="1"/>
      <c r="B4" s="1"/>
      <c r="C4" s="1"/>
      <c r="D4" s="1"/>
      <c r="E4" s="1"/>
      <c r="F4" s="1"/>
      <c r="G4" s="3"/>
      <c r="H4" s="3"/>
    </row>
    <row r="5" spans="1:8" ht="18" customHeight="1" thickTop="1" x14ac:dyDescent="0.15">
      <c r="A5" s="9" t="s">
        <v>32</v>
      </c>
      <c r="B5" s="10">
        <f t="shared" ref="B5:C5" si="0">B6+B7+B8</f>
        <v>4858938</v>
      </c>
      <c r="C5" s="10">
        <f t="shared" si="0"/>
        <v>4610882</v>
      </c>
      <c r="D5" s="10">
        <f>D6+D7+D8</f>
        <v>650579</v>
      </c>
      <c r="E5" s="10">
        <f>E6+E7+E8</f>
        <v>367062</v>
      </c>
      <c r="F5" s="10">
        <f>F6+F7+F8</f>
        <v>274237</v>
      </c>
      <c r="G5" s="10">
        <f>G6+G7+G8</f>
        <v>233994</v>
      </c>
      <c r="H5" s="10">
        <f>+H6+H7+H8</f>
        <v>214146</v>
      </c>
    </row>
    <row r="6" spans="1:8" ht="18" customHeight="1" x14ac:dyDescent="0.15">
      <c r="A6" s="6" t="s">
        <v>27</v>
      </c>
      <c r="B6" s="7">
        <v>3236503</v>
      </c>
      <c r="C6" s="7">
        <v>3611048</v>
      </c>
      <c r="D6" s="7">
        <v>187303</v>
      </c>
      <c r="E6" s="7">
        <v>108474</v>
      </c>
      <c r="F6" s="7">
        <v>81914</v>
      </c>
      <c r="G6" s="7">
        <v>75141</v>
      </c>
      <c r="H6" s="7">
        <v>54488</v>
      </c>
    </row>
    <row r="7" spans="1:8" ht="18" customHeight="1" x14ac:dyDescent="0.15">
      <c r="A7" s="6" t="s">
        <v>28</v>
      </c>
      <c r="B7" s="7">
        <v>1614736</v>
      </c>
      <c r="C7" s="7">
        <v>991488</v>
      </c>
      <c r="D7" s="7">
        <v>455442</v>
      </c>
      <c r="E7" s="7">
        <v>250514</v>
      </c>
      <c r="F7" s="7">
        <v>183956</v>
      </c>
      <c r="G7" s="7">
        <v>156904</v>
      </c>
      <c r="H7" s="7">
        <v>158541</v>
      </c>
    </row>
    <row r="8" spans="1:8" ht="18" customHeight="1" thickBot="1" x14ac:dyDescent="0.2">
      <c r="A8" s="6" t="s">
        <v>29</v>
      </c>
      <c r="B8" s="7">
        <v>7699</v>
      </c>
      <c r="C8" s="7">
        <v>8346</v>
      </c>
      <c r="D8" s="7">
        <v>7834</v>
      </c>
      <c r="E8" s="7">
        <v>8074</v>
      </c>
      <c r="F8" s="7">
        <v>8367</v>
      </c>
      <c r="G8" s="7">
        <v>1949</v>
      </c>
      <c r="H8" s="7">
        <v>1117</v>
      </c>
    </row>
    <row r="9" spans="1:8" ht="18" customHeight="1" thickTop="1" x14ac:dyDescent="0.15">
      <c r="A9" s="9" t="s">
        <v>33</v>
      </c>
      <c r="B9" s="10">
        <f t="shared" ref="B9:C9" si="1">B10+B14+B15+B16</f>
        <v>8211943</v>
      </c>
      <c r="C9" s="10">
        <f t="shared" si="1"/>
        <v>11354061</v>
      </c>
      <c r="D9" s="10">
        <f>D10+D14+D15+D16</f>
        <v>8968904</v>
      </c>
      <c r="E9" s="10">
        <f>E10+E14+E15+E16</f>
        <v>7187284</v>
      </c>
      <c r="F9" s="10">
        <f>F10+F14+F15+F16</f>
        <v>6192363</v>
      </c>
      <c r="G9" s="10">
        <f>G10+G14+G15+G16</f>
        <v>4925644</v>
      </c>
      <c r="H9" s="10">
        <v>4029998</v>
      </c>
    </row>
    <row r="10" spans="1:8" ht="18" customHeight="1" x14ac:dyDescent="0.15">
      <c r="A10" s="6" t="s">
        <v>34</v>
      </c>
      <c r="B10" s="7">
        <v>4509840</v>
      </c>
      <c r="C10" s="7">
        <v>7422379</v>
      </c>
      <c r="D10" s="7">
        <v>5453219</v>
      </c>
      <c r="E10" s="7">
        <v>4464476</v>
      </c>
      <c r="F10" s="7">
        <v>3293168</v>
      </c>
      <c r="G10" s="7">
        <v>3174299</v>
      </c>
      <c r="H10" s="7">
        <f>H9-H14-H15-H16</f>
        <v>2720638</v>
      </c>
    </row>
    <row r="11" spans="1:8" ht="18" customHeight="1" outlineLevel="1" x14ac:dyDescent="0.15">
      <c r="A11" s="30" t="s">
        <v>20</v>
      </c>
      <c r="B11" s="31">
        <v>240667</v>
      </c>
      <c r="C11" s="31">
        <v>102963</v>
      </c>
      <c r="D11" s="31">
        <v>13338</v>
      </c>
      <c r="E11" s="31">
        <v>16885</v>
      </c>
      <c r="F11" s="31">
        <v>10117</v>
      </c>
      <c r="G11" s="31">
        <v>9993</v>
      </c>
      <c r="H11" s="31">
        <v>3929</v>
      </c>
    </row>
    <row r="12" spans="1:8" ht="18" customHeight="1" outlineLevel="1" x14ac:dyDescent="0.15">
      <c r="A12" s="30" t="s">
        <v>21</v>
      </c>
      <c r="B12" s="31">
        <v>4041632</v>
      </c>
      <c r="C12" s="31">
        <v>6894098</v>
      </c>
      <c r="D12" s="31">
        <v>5140519</v>
      </c>
      <c r="E12" s="31">
        <v>4347308</v>
      </c>
      <c r="F12" s="31">
        <v>3283051</v>
      </c>
      <c r="G12" s="31">
        <v>3164097</v>
      </c>
      <c r="H12" s="31">
        <v>2716709</v>
      </c>
    </row>
    <row r="13" spans="1:8" ht="18" customHeight="1" outlineLevel="1" x14ac:dyDescent="0.15">
      <c r="A13" s="30" t="s">
        <v>35</v>
      </c>
      <c r="B13" s="31">
        <f>B10-B11-B12</f>
        <v>227541</v>
      </c>
      <c r="C13" s="31">
        <f t="shared" ref="C13:H13" si="2">C10-C11-C12</f>
        <v>425318</v>
      </c>
      <c r="D13" s="31">
        <f t="shared" si="2"/>
        <v>299362</v>
      </c>
      <c r="E13" s="31">
        <f t="shared" si="2"/>
        <v>100283</v>
      </c>
      <c r="F13" s="31">
        <f t="shared" si="2"/>
        <v>0</v>
      </c>
      <c r="G13" s="31">
        <f t="shared" si="2"/>
        <v>209</v>
      </c>
      <c r="H13" s="31">
        <f t="shared" si="2"/>
        <v>0</v>
      </c>
    </row>
    <row r="14" spans="1:8" ht="18" customHeight="1" x14ac:dyDescent="0.15">
      <c r="A14" s="6" t="s">
        <v>30</v>
      </c>
      <c r="B14" s="7">
        <v>45869</v>
      </c>
      <c r="C14" s="7">
        <v>26390</v>
      </c>
      <c r="D14" s="7">
        <v>24318</v>
      </c>
      <c r="E14" s="7">
        <v>20313</v>
      </c>
      <c r="F14" s="7">
        <v>18389</v>
      </c>
      <c r="G14" s="7">
        <v>8854</v>
      </c>
      <c r="H14" s="7">
        <v>0</v>
      </c>
    </row>
    <row r="15" spans="1:8" ht="18" customHeight="1" x14ac:dyDescent="0.15">
      <c r="A15" s="6" t="s">
        <v>31</v>
      </c>
      <c r="B15" s="7">
        <v>3049329</v>
      </c>
      <c r="C15" s="7">
        <v>3153553</v>
      </c>
      <c r="D15" s="7">
        <v>2483680</v>
      </c>
      <c r="E15" s="7">
        <v>1852945</v>
      </c>
      <c r="F15" s="7">
        <v>1691263</v>
      </c>
      <c r="G15" s="7">
        <f>1404718-8854</f>
        <v>1395864</v>
      </c>
      <c r="H15" s="7">
        <v>1006275</v>
      </c>
    </row>
    <row r="16" spans="1:8" ht="18" customHeight="1" x14ac:dyDescent="0.15">
      <c r="A16" s="6" t="s">
        <v>26</v>
      </c>
      <c r="B16" s="7">
        <v>606905</v>
      </c>
      <c r="C16" s="7">
        <v>751739</v>
      </c>
      <c r="D16" s="7">
        <v>1007687</v>
      </c>
      <c r="E16" s="7">
        <v>849550</v>
      </c>
      <c r="F16" s="7">
        <v>1189543</v>
      </c>
      <c r="G16" s="7">
        <v>346627</v>
      </c>
      <c r="H16" s="7">
        <v>303085</v>
      </c>
    </row>
    <row r="17" spans="1:8" ht="18" customHeight="1" thickBot="1" x14ac:dyDescent="0.2">
      <c r="A17" s="17" t="s">
        <v>37</v>
      </c>
      <c r="B17" s="40">
        <v>590933</v>
      </c>
      <c r="C17" s="40">
        <v>368875</v>
      </c>
      <c r="D17" s="18">
        <v>169233</v>
      </c>
      <c r="E17" s="18">
        <v>168837</v>
      </c>
      <c r="F17" s="18">
        <v>349490</v>
      </c>
      <c r="G17" s="18">
        <v>226263</v>
      </c>
      <c r="H17" s="18">
        <v>152318</v>
      </c>
    </row>
    <row r="18" spans="1:8" ht="18" customHeight="1" thickTop="1" thickBot="1" x14ac:dyDescent="0.2">
      <c r="A18" s="15" t="s">
        <v>0</v>
      </c>
      <c r="B18" s="16">
        <f>B17+B9+B5</f>
        <v>13661814</v>
      </c>
      <c r="C18" s="16">
        <f>C17+C9+C5</f>
        <v>16333818</v>
      </c>
      <c r="D18" s="16">
        <f>D17+D9+D5</f>
        <v>9788716</v>
      </c>
      <c r="E18" s="16">
        <f>E17+E9+E5</f>
        <v>7723183</v>
      </c>
      <c r="F18" s="16">
        <f>F5+F9+F17</f>
        <v>6816090</v>
      </c>
      <c r="G18" s="16">
        <f>G5+G9+G17</f>
        <v>5385901</v>
      </c>
      <c r="H18" s="16">
        <f>H5+H9+H17</f>
        <v>4396462</v>
      </c>
    </row>
    <row r="19" spans="1:8" ht="18" customHeight="1" thickTop="1" thickBot="1" x14ac:dyDescent="0.2">
      <c r="A19" s="1"/>
      <c r="B19" s="1"/>
      <c r="C19" s="1"/>
      <c r="D19" s="1"/>
      <c r="E19" s="1"/>
      <c r="F19" s="1"/>
      <c r="G19" s="1"/>
      <c r="H19" s="1"/>
    </row>
    <row r="20" spans="1:8" ht="18" customHeight="1" thickTop="1" x14ac:dyDescent="0.15">
      <c r="A20" s="9" t="s">
        <v>36</v>
      </c>
      <c r="B20" s="10">
        <f t="shared" ref="B20:C20" si="3">B21+B22+B23+B24+B25</f>
        <v>3204930</v>
      </c>
      <c r="C20" s="10">
        <f t="shared" si="3"/>
        <v>2551285</v>
      </c>
      <c r="D20" s="10">
        <f>D21+D22+D23+D24+D25</f>
        <v>2195148</v>
      </c>
      <c r="E20" s="10">
        <f>E21+E22+E23+E24+E25</f>
        <v>1110219</v>
      </c>
      <c r="F20" s="10">
        <f>F21+F22+F23+F24+F25</f>
        <v>1024078</v>
      </c>
      <c r="G20" s="10">
        <f>G21+G22+G23+G24+G25</f>
        <v>864088</v>
      </c>
      <c r="H20" s="10">
        <f>+H21+H22+H24+H25+H23</f>
        <v>699721</v>
      </c>
    </row>
    <row r="21" spans="1:8" ht="18" customHeight="1" x14ac:dyDescent="0.15">
      <c r="A21" s="6" t="s">
        <v>43</v>
      </c>
      <c r="B21" s="7">
        <v>2000</v>
      </c>
      <c r="C21" s="7">
        <v>2000</v>
      </c>
      <c r="D21" s="7">
        <v>2000</v>
      </c>
      <c r="E21" s="7">
        <v>2000</v>
      </c>
      <c r="F21" s="7">
        <v>2000</v>
      </c>
      <c r="G21" s="7">
        <v>2000</v>
      </c>
      <c r="H21" s="7">
        <v>2000</v>
      </c>
    </row>
    <row r="22" spans="1:8" ht="18" customHeight="1" x14ac:dyDescent="0.15">
      <c r="A22" s="6" t="s">
        <v>44</v>
      </c>
      <c r="B22" s="7">
        <v>-1955</v>
      </c>
      <c r="C22" s="7">
        <v>-1308</v>
      </c>
      <c r="D22" s="7">
        <v>-820</v>
      </c>
      <c r="E22" s="7">
        <v>-480</v>
      </c>
      <c r="F22" s="7">
        <v>-187</v>
      </c>
      <c r="G22" s="7">
        <v>-93</v>
      </c>
      <c r="H22" s="7">
        <v>21</v>
      </c>
    </row>
    <row r="23" spans="1:8" ht="18" customHeight="1" x14ac:dyDescent="0.15">
      <c r="A23" s="6" t="s">
        <v>45</v>
      </c>
      <c r="B23" s="7">
        <v>400</v>
      </c>
      <c r="C23" s="7">
        <v>400</v>
      </c>
      <c r="D23" s="7">
        <v>400</v>
      </c>
      <c r="E23" s="7">
        <v>400</v>
      </c>
      <c r="F23" s="7">
        <v>400</v>
      </c>
      <c r="G23" s="7">
        <v>400</v>
      </c>
      <c r="H23" s="7">
        <v>400</v>
      </c>
    </row>
    <row r="24" spans="1:8" ht="18" customHeight="1" x14ac:dyDescent="0.15">
      <c r="A24" s="6" t="s">
        <v>46</v>
      </c>
      <c r="B24" s="7">
        <v>2550193</v>
      </c>
      <c r="C24" s="7">
        <v>53283</v>
      </c>
      <c r="D24" s="7">
        <v>53283</v>
      </c>
      <c r="E24" s="7">
        <v>53283</v>
      </c>
      <c r="F24" s="7">
        <v>53283</v>
      </c>
      <c r="G24" s="7">
        <v>53283</v>
      </c>
      <c r="H24" s="7">
        <v>53284</v>
      </c>
    </row>
    <row r="25" spans="1:8" ht="18" customHeight="1" thickBot="1" x14ac:dyDescent="0.2">
      <c r="A25" s="6" t="s">
        <v>47</v>
      </c>
      <c r="B25" s="7">
        <v>654292</v>
      </c>
      <c r="C25" s="7">
        <v>2496910</v>
      </c>
      <c r="D25" s="7">
        <f t="shared" ref="D25:H25" si="4">D57</f>
        <v>2140285</v>
      </c>
      <c r="E25" s="7">
        <f t="shared" si="4"/>
        <v>1055016</v>
      </c>
      <c r="F25" s="7">
        <f t="shared" si="4"/>
        <v>968582</v>
      </c>
      <c r="G25" s="7">
        <f t="shared" si="4"/>
        <v>808498</v>
      </c>
      <c r="H25" s="7">
        <f t="shared" si="4"/>
        <v>644016</v>
      </c>
    </row>
    <row r="26" spans="1:8" ht="18" customHeight="1" thickTop="1" x14ac:dyDescent="0.15">
      <c r="A26" s="9" t="s">
        <v>40</v>
      </c>
      <c r="B26" s="10">
        <f t="shared" ref="B26:G26" si="5">B27+B28+B31</f>
        <v>9952866</v>
      </c>
      <c r="C26" s="10">
        <f t="shared" si="5"/>
        <v>13117550</v>
      </c>
      <c r="D26" s="10">
        <f t="shared" si="5"/>
        <v>7065960</v>
      </c>
      <c r="E26" s="10">
        <f t="shared" si="5"/>
        <v>6194036</v>
      </c>
      <c r="F26" s="10">
        <f t="shared" si="5"/>
        <v>5474514</v>
      </c>
      <c r="G26" s="10">
        <f t="shared" si="5"/>
        <v>4283073</v>
      </c>
      <c r="H26" s="10">
        <f>H27+H28+H31</f>
        <v>3434425</v>
      </c>
    </row>
    <row r="27" spans="1:8" ht="18" customHeight="1" x14ac:dyDescent="0.15">
      <c r="A27" s="6" t="s">
        <v>14</v>
      </c>
      <c r="B27" s="7">
        <v>15412</v>
      </c>
      <c r="C27" s="7">
        <v>30243</v>
      </c>
      <c r="D27" s="7">
        <v>27500</v>
      </c>
      <c r="E27" s="7">
        <v>28500</v>
      </c>
      <c r="F27" s="7">
        <v>4500</v>
      </c>
      <c r="G27" s="7">
        <v>12465</v>
      </c>
      <c r="H27" s="7">
        <v>17477</v>
      </c>
    </row>
    <row r="28" spans="1:8" ht="18" customHeight="1" x14ac:dyDescent="0.15">
      <c r="A28" s="6" t="s">
        <v>41</v>
      </c>
      <c r="B28" s="7">
        <v>2473108</v>
      </c>
      <c r="C28" s="7">
        <v>2571252</v>
      </c>
      <c r="D28" s="7">
        <v>0</v>
      </c>
      <c r="E28" s="7">
        <v>0</v>
      </c>
      <c r="F28" s="7">
        <v>0</v>
      </c>
      <c r="G28" s="7">
        <v>308370</v>
      </c>
      <c r="H28" s="7">
        <v>65267</v>
      </c>
    </row>
    <row r="29" spans="1:8" ht="18" customHeight="1" outlineLevel="1" x14ac:dyDescent="0.15">
      <c r="A29" s="32" t="s">
        <v>38</v>
      </c>
      <c r="B29" s="33">
        <v>1960000</v>
      </c>
      <c r="C29" s="33">
        <v>2520000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18" customHeight="1" outlineLevel="1" x14ac:dyDescent="0.15">
      <c r="A30" s="32" t="s">
        <v>39</v>
      </c>
      <c r="B30" s="33">
        <f>B28-B29</f>
        <v>513108</v>
      </c>
      <c r="C30" s="33">
        <f t="shared" ref="C30:H30" si="6">C28-C29</f>
        <v>51252</v>
      </c>
      <c r="D30" s="33">
        <f t="shared" si="6"/>
        <v>0</v>
      </c>
      <c r="E30" s="33">
        <f t="shared" si="6"/>
        <v>0</v>
      </c>
      <c r="F30" s="33">
        <f t="shared" si="6"/>
        <v>0</v>
      </c>
      <c r="G30" s="33">
        <f t="shared" si="6"/>
        <v>308370</v>
      </c>
      <c r="H30" s="33">
        <f t="shared" si="6"/>
        <v>65267</v>
      </c>
    </row>
    <row r="31" spans="1:8" ht="18" customHeight="1" x14ac:dyDescent="0.15">
      <c r="A31" s="6" t="s">
        <v>15</v>
      </c>
      <c r="B31" s="7">
        <v>7464346</v>
      </c>
      <c r="C31" s="7">
        <v>10516055</v>
      </c>
      <c r="D31" s="7">
        <v>7038460</v>
      </c>
      <c r="E31" s="7">
        <v>6165536</v>
      </c>
      <c r="F31" s="7">
        <v>5470014</v>
      </c>
      <c r="G31" s="7">
        <v>3962238</v>
      </c>
      <c r="H31" s="7">
        <v>3351681</v>
      </c>
    </row>
    <row r="32" spans="1:8" ht="18" hidden="1" customHeight="1" outlineLevel="1" x14ac:dyDescent="0.15">
      <c r="A32" s="32" t="s">
        <v>42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</row>
    <row r="33" spans="1:8" ht="18" customHeight="1" collapsed="1" x14ac:dyDescent="0.15">
      <c r="A33" s="17" t="s">
        <v>37</v>
      </c>
      <c r="B33" s="18">
        <v>504018</v>
      </c>
      <c r="C33" s="18">
        <v>664983</v>
      </c>
      <c r="D33" s="18">
        <v>527608</v>
      </c>
      <c r="E33" s="18">
        <v>418928</v>
      </c>
      <c r="F33" s="18">
        <v>317498</v>
      </c>
      <c r="G33" s="18">
        <v>238740</v>
      </c>
      <c r="H33" s="18">
        <v>262316</v>
      </c>
    </row>
    <row r="34" spans="1:8" ht="18" customHeight="1" thickBot="1" x14ac:dyDescent="0.2">
      <c r="A34" s="11" t="s">
        <v>16</v>
      </c>
      <c r="B34" s="12">
        <f t="shared" ref="B34:C34" si="7">B20+B26+B33</f>
        <v>13661814</v>
      </c>
      <c r="C34" s="12">
        <f t="shared" si="7"/>
        <v>16333818</v>
      </c>
      <c r="D34" s="12">
        <f>D20+D26+D33</f>
        <v>9788716</v>
      </c>
      <c r="E34" s="12">
        <f>E20+E26+E33</f>
        <v>7723183</v>
      </c>
      <c r="F34" s="12">
        <f>F20+F26+F33</f>
        <v>6816090</v>
      </c>
      <c r="G34" s="12">
        <f>G33+G26+G20</f>
        <v>5385901</v>
      </c>
      <c r="H34" s="12">
        <f>H33+H26+H20</f>
        <v>4396462</v>
      </c>
    </row>
    <row r="35" spans="1:8" ht="15" thickTop="1" x14ac:dyDescent="0.15">
      <c r="A35" s="13"/>
      <c r="B35" s="13"/>
      <c r="C35" s="13"/>
      <c r="D35" s="13"/>
      <c r="E35" s="13"/>
      <c r="F35" s="14"/>
      <c r="G35" s="14"/>
      <c r="H35" s="14"/>
    </row>
    <row r="36" spans="1:8" ht="15" thickBot="1" x14ac:dyDescent="0.2">
      <c r="A36" s="59" t="s">
        <v>5</v>
      </c>
      <c r="B36" s="59"/>
      <c r="C36" s="59"/>
      <c r="D36" s="59"/>
      <c r="E36" s="59"/>
      <c r="F36" s="59"/>
      <c r="G36" s="59"/>
      <c r="H36" s="59"/>
    </row>
    <row r="37" spans="1:8" ht="15" thickTop="1" x14ac:dyDescent="0.15">
      <c r="A37" s="2"/>
      <c r="B37" s="2"/>
      <c r="C37" s="2"/>
      <c r="D37" s="2"/>
      <c r="E37" s="2"/>
      <c r="F37" s="2"/>
      <c r="G37" s="2"/>
      <c r="H37" s="2"/>
    </row>
    <row r="38" spans="1:8" ht="14" x14ac:dyDescent="0.15">
      <c r="A38" s="2"/>
      <c r="B38" s="58">
        <v>2022</v>
      </c>
      <c r="C38" s="58">
        <v>2021</v>
      </c>
      <c r="D38" s="58">
        <v>2020</v>
      </c>
      <c r="E38" s="58">
        <v>2019</v>
      </c>
      <c r="F38" s="58">
        <v>2018</v>
      </c>
      <c r="G38" s="58">
        <v>2017</v>
      </c>
      <c r="H38" s="58">
        <v>2016</v>
      </c>
    </row>
    <row r="39" spans="1:8" ht="14" x14ac:dyDescent="0.15">
      <c r="A39" s="2"/>
      <c r="B39" s="58"/>
      <c r="C39" s="58"/>
      <c r="D39" s="58"/>
      <c r="E39" s="58"/>
      <c r="F39" s="58"/>
      <c r="G39" s="58">
        <v>2017</v>
      </c>
      <c r="H39" s="58">
        <v>2016</v>
      </c>
    </row>
    <row r="40" spans="1:8" ht="15" thickBot="1" x14ac:dyDescent="0.2">
      <c r="A40" s="8"/>
      <c r="B40" s="8"/>
      <c r="C40" s="8"/>
      <c r="D40" s="8"/>
      <c r="E40" s="8"/>
      <c r="F40" s="8"/>
      <c r="G40" s="4"/>
      <c r="H40" s="4"/>
    </row>
    <row r="41" spans="1:8" ht="23" customHeight="1" thickTop="1" x14ac:dyDescent="0.15">
      <c r="A41" s="34" t="s">
        <v>18</v>
      </c>
      <c r="B41" s="5">
        <v>38660831</v>
      </c>
      <c r="C41" s="5">
        <v>42375790</v>
      </c>
      <c r="D41" s="5">
        <v>35293531</v>
      </c>
      <c r="E41" s="5">
        <v>27564288</v>
      </c>
      <c r="F41" s="5">
        <v>23518340</v>
      </c>
      <c r="G41" s="5">
        <v>19848199</v>
      </c>
      <c r="H41" s="5">
        <v>16640473</v>
      </c>
    </row>
    <row r="42" spans="1:8" ht="23" customHeight="1" x14ac:dyDescent="0.15">
      <c r="A42" s="35" t="s">
        <v>17</v>
      </c>
      <c r="B42" s="19">
        <v>33137128</v>
      </c>
      <c r="C42" s="19">
        <v>35172427</v>
      </c>
      <c r="D42" s="19">
        <v>29300746</v>
      </c>
      <c r="E42" s="19">
        <v>23493842</v>
      </c>
      <c r="F42" s="19">
        <v>20221583</v>
      </c>
      <c r="G42" s="19">
        <v>17217333</v>
      </c>
      <c r="H42" s="19">
        <v>14556885</v>
      </c>
    </row>
    <row r="43" spans="1:8" ht="23" customHeight="1" x14ac:dyDescent="0.15">
      <c r="A43" s="35" t="s">
        <v>22</v>
      </c>
      <c r="B43" s="19">
        <v>2331322</v>
      </c>
      <c r="C43" s="19">
        <v>2619378</v>
      </c>
      <c r="D43" s="19">
        <v>2103612</v>
      </c>
      <c r="E43" s="19">
        <f>1601047</f>
        <v>1601047</v>
      </c>
      <c r="F43" s="19">
        <v>1391819</v>
      </c>
      <c r="G43" s="19">
        <v>1105744</v>
      </c>
      <c r="H43" s="19">
        <v>728334</v>
      </c>
    </row>
    <row r="44" spans="1:8" ht="23" customHeight="1" x14ac:dyDescent="0.15">
      <c r="A44" s="36" t="s">
        <v>48</v>
      </c>
      <c r="B44" s="7">
        <f>37471977-B42</f>
        <v>4334849</v>
      </c>
      <c r="C44" s="7">
        <f>39855081-C42</f>
        <v>4682654</v>
      </c>
      <c r="D44" s="7">
        <f>33368091-D42</f>
        <v>4067345</v>
      </c>
      <c r="E44" s="7">
        <f>233085+3186104</f>
        <v>3419189</v>
      </c>
      <c r="F44" s="7">
        <f>22823513-F42</f>
        <v>2601930</v>
      </c>
      <c r="G44" s="7">
        <f>19298463-G42+31116</f>
        <v>2112246</v>
      </c>
      <c r="H44" s="7">
        <f>16167572-H42+17027</f>
        <v>1627714</v>
      </c>
    </row>
    <row r="45" spans="1:8" ht="23" customHeight="1" x14ac:dyDescent="0.15">
      <c r="A45" s="36" t="s">
        <v>51</v>
      </c>
      <c r="B45" s="7">
        <v>-61749</v>
      </c>
      <c r="C45" s="7">
        <v>-24182</v>
      </c>
      <c r="D45" s="7">
        <v>-7737</v>
      </c>
      <c r="E45" s="7">
        <v>-28795</v>
      </c>
      <c r="F45" s="7">
        <v>-34010</v>
      </c>
      <c r="G45" s="7">
        <v>-31116</v>
      </c>
      <c r="H45" s="7">
        <v>-17027</v>
      </c>
    </row>
    <row r="46" spans="1:8" ht="23" customHeight="1" x14ac:dyDescent="0.15">
      <c r="A46" s="36" t="s">
        <v>49</v>
      </c>
      <c r="B46" s="7">
        <v>2044580</v>
      </c>
      <c r="C46" s="7">
        <v>1645319</v>
      </c>
      <c r="D46" s="7">
        <v>1254826</v>
      </c>
      <c r="E46" s="7">
        <v>901629</v>
      </c>
      <c r="F46" s="7">
        <v>746855</v>
      </c>
      <c r="G46" s="7">
        <v>572526</v>
      </c>
      <c r="H46" s="7">
        <v>417418</v>
      </c>
    </row>
    <row r="47" spans="1:8" ht="23" customHeight="1" x14ac:dyDescent="0.15">
      <c r="A47" s="36" t="s">
        <v>1</v>
      </c>
      <c r="B47" s="7">
        <v>755292</v>
      </c>
      <c r="C47" s="7">
        <v>443210</v>
      </c>
      <c r="D47" s="7">
        <v>132826</v>
      </c>
      <c r="E47" s="7">
        <v>153190</v>
      </c>
      <c r="F47" s="7">
        <v>179822</v>
      </c>
      <c r="G47" s="7">
        <v>132039</v>
      </c>
      <c r="H47" s="7">
        <v>40428</v>
      </c>
    </row>
    <row r="48" spans="1:8" ht="23" customHeight="1" x14ac:dyDescent="0.15">
      <c r="A48" s="36" t="s">
        <v>58</v>
      </c>
      <c r="B48" s="7">
        <v>370189</v>
      </c>
      <c r="C48" s="7">
        <v>388314</v>
      </c>
      <c r="D48" s="7">
        <v>346046</v>
      </c>
      <c r="E48" s="7">
        <v>317003</v>
      </c>
      <c r="F48" s="7">
        <v>261599</v>
      </c>
      <c r="G48" s="7">
        <v>213494</v>
      </c>
      <c r="H48" s="7">
        <v>185750</v>
      </c>
    </row>
    <row r="49" spans="1:9" ht="23" customHeight="1" x14ac:dyDescent="0.15">
      <c r="A49" s="36" t="s">
        <v>50</v>
      </c>
      <c r="B49" s="7">
        <v>232238</v>
      </c>
      <c r="C49" s="7">
        <v>199197</v>
      </c>
      <c r="D49" s="7">
        <v>192542</v>
      </c>
      <c r="E49" s="7">
        <f>129151</f>
        <v>129151</v>
      </c>
      <c r="F49" s="7">
        <v>144109</v>
      </c>
      <c r="G49" s="7">
        <f>137022-31116</f>
        <v>105906</v>
      </c>
      <c r="H49" s="7">
        <f>93660-17027</f>
        <v>76633</v>
      </c>
    </row>
    <row r="50" spans="1:9" ht="23" customHeight="1" x14ac:dyDescent="0.15">
      <c r="A50" s="37" t="s">
        <v>25</v>
      </c>
      <c r="B50" s="20">
        <f>B41-B42+B43-B44-B46-B47+B48-B49-B45</f>
        <v>920004</v>
      </c>
      <c r="C50" s="20">
        <f>C41-C42+C43-C44-C46-C47+C48-C49-C45</f>
        <v>3264857</v>
      </c>
      <c r="D50" s="20">
        <f t="shared" ref="D50:H50" si="8">D41-D42+D43-D44-D46-D47+D48-D49-D45</f>
        <v>2802641</v>
      </c>
      <c r="E50" s="20">
        <f t="shared" si="8"/>
        <v>1414132</v>
      </c>
      <c r="F50" s="20">
        <f t="shared" si="8"/>
        <v>1311469</v>
      </c>
      <c r="G50" s="20">
        <f t="shared" si="8"/>
        <v>1058503</v>
      </c>
      <c r="H50" s="20">
        <f t="shared" si="8"/>
        <v>852506</v>
      </c>
      <c r="I50" s="29"/>
    </row>
    <row r="51" spans="1:9" ht="23" customHeight="1" x14ac:dyDescent="0.15">
      <c r="A51" s="36" t="s">
        <v>8</v>
      </c>
      <c r="B51" s="7">
        <f>73763+262625</f>
        <v>336388</v>
      </c>
      <c r="C51" s="7">
        <f>53471+170160</f>
        <v>223631</v>
      </c>
      <c r="D51" s="7">
        <f>58810+159677</f>
        <v>218487</v>
      </c>
      <c r="E51" s="7">
        <f>40000+44746</f>
        <v>84746</v>
      </c>
      <c r="F51" s="7">
        <v>20273</v>
      </c>
      <c r="G51" s="7">
        <v>12959</v>
      </c>
      <c r="H51" s="7">
        <v>11910</v>
      </c>
    </row>
    <row r="52" spans="1:9" ht="23" customHeight="1" x14ac:dyDescent="0.15">
      <c r="A52" s="36" t="s">
        <v>13</v>
      </c>
      <c r="B52" s="7">
        <v>323867</v>
      </c>
      <c r="C52" s="7">
        <v>85810</v>
      </c>
      <c r="D52" s="7">
        <v>38550</v>
      </c>
      <c r="E52" s="7">
        <v>16457</v>
      </c>
      <c r="F52" s="7">
        <v>30758</v>
      </c>
      <c r="G52" s="7">
        <v>25455</v>
      </c>
      <c r="H52" s="7">
        <v>10142</v>
      </c>
    </row>
    <row r="53" spans="1:9" ht="23" customHeight="1" x14ac:dyDescent="0.15">
      <c r="A53" s="36" t="s">
        <v>6</v>
      </c>
      <c r="B53" s="7">
        <f>683808+79985</f>
        <v>763793</v>
      </c>
      <c r="C53" s="7">
        <f>513245+59585</f>
        <v>572830</v>
      </c>
      <c r="D53" s="7">
        <f>477647+163153</f>
        <v>640800</v>
      </c>
      <c r="E53" s="7">
        <f>212092+27501</f>
        <v>239593</v>
      </c>
      <c r="F53" s="7">
        <f>7142+165705</f>
        <v>172847</v>
      </c>
      <c r="G53" s="7">
        <v>132526</v>
      </c>
      <c r="H53" s="7">
        <v>84598</v>
      </c>
    </row>
    <row r="54" spans="1:9" ht="23" customHeight="1" x14ac:dyDescent="0.15">
      <c r="A54" s="36" t="s">
        <v>7</v>
      </c>
      <c r="B54" s="7">
        <f>445531+159644</f>
        <v>605175</v>
      </c>
      <c r="C54" s="7">
        <f>235565+26377</f>
        <v>261942</v>
      </c>
      <c r="D54" s="7">
        <f>291297+95</f>
        <v>291392</v>
      </c>
      <c r="E54" s="7">
        <f>76861+448</f>
        <v>77309</v>
      </c>
      <c r="F54" s="7">
        <f>4393+180+61414</f>
        <v>65987</v>
      </c>
      <c r="G54" s="7">
        <f>76082+140</f>
        <v>76222</v>
      </c>
      <c r="H54" s="7">
        <f>20476+266</f>
        <v>20742</v>
      </c>
    </row>
    <row r="55" spans="1:9" ht="23" customHeight="1" x14ac:dyDescent="0.15">
      <c r="A55" s="38" t="s">
        <v>24</v>
      </c>
      <c r="B55" s="20">
        <f t="shared" ref="B55:H55" si="9">B50+B51-B52-B53+B54</f>
        <v>773907</v>
      </c>
      <c r="C55" s="20">
        <f>C50+C51-C52-C53+C54</f>
        <v>3091790</v>
      </c>
      <c r="D55" s="20">
        <f t="shared" si="9"/>
        <v>2633170</v>
      </c>
      <c r="E55" s="20">
        <f t="shared" si="9"/>
        <v>1320137</v>
      </c>
      <c r="F55" s="20">
        <f t="shared" si="9"/>
        <v>1194124</v>
      </c>
      <c r="G55" s="20">
        <f t="shared" si="9"/>
        <v>989703</v>
      </c>
      <c r="H55" s="20">
        <f t="shared" si="9"/>
        <v>790418</v>
      </c>
    </row>
    <row r="56" spans="1:9" ht="23" customHeight="1" x14ac:dyDescent="0.15">
      <c r="A56" s="36" t="s">
        <v>3</v>
      </c>
      <c r="B56" s="7">
        <v>119615</v>
      </c>
      <c r="C56" s="7">
        <v>594880</v>
      </c>
      <c r="D56" s="7">
        <v>492885</v>
      </c>
      <c r="E56" s="7">
        <v>265121</v>
      </c>
      <c r="F56" s="7">
        <v>225542</v>
      </c>
      <c r="G56" s="7">
        <v>181205</v>
      </c>
      <c r="H56" s="7">
        <v>146402</v>
      </c>
    </row>
    <row r="57" spans="1:9" ht="23" customHeight="1" thickBot="1" x14ac:dyDescent="0.2">
      <c r="A57" s="39" t="s">
        <v>23</v>
      </c>
      <c r="B57" s="21">
        <f t="shared" ref="B57:H57" si="10">B55-B56</f>
        <v>654292</v>
      </c>
      <c r="C57" s="21">
        <f t="shared" si="10"/>
        <v>2496910</v>
      </c>
      <c r="D57" s="21">
        <f t="shared" si="10"/>
        <v>2140285</v>
      </c>
      <c r="E57" s="21">
        <f t="shared" si="10"/>
        <v>1055016</v>
      </c>
      <c r="F57" s="21">
        <f t="shared" si="10"/>
        <v>968582</v>
      </c>
      <c r="G57" s="21">
        <f t="shared" si="10"/>
        <v>808498</v>
      </c>
      <c r="H57" s="21">
        <f t="shared" si="10"/>
        <v>644016</v>
      </c>
    </row>
    <row r="58" spans="1:9" ht="14" thickTop="1" x14ac:dyDescent="0.15"/>
  </sheetData>
  <mergeCells count="16">
    <mergeCell ref="H38:H39"/>
    <mergeCell ref="D38:D39"/>
    <mergeCell ref="A1:H1"/>
    <mergeCell ref="A36:H36"/>
    <mergeCell ref="F2:F3"/>
    <mergeCell ref="G2:G3"/>
    <mergeCell ref="H2:H3"/>
    <mergeCell ref="E2:E3"/>
    <mergeCell ref="D2:D3"/>
    <mergeCell ref="E38:E39"/>
    <mergeCell ref="F38:F39"/>
    <mergeCell ref="G38:G39"/>
    <mergeCell ref="C2:C3"/>
    <mergeCell ref="B2:B3"/>
    <mergeCell ref="C38:C39"/>
    <mergeCell ref="B38:B39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4EE8-1447-4A47-878E-5887960BFF39}">
  <dimension ref="A1:I84"/>
  <sheetViews>
    <sheetView showGridLines="0" topLeftCell="A54" zoomScale="120" zoomScaleNormal="120" workbookViewId="0">
      <selection activeCell="A95" sqref="A95"/>
    </sheetView>
  </sheetViews>
  <sheetFormatPr baseColWidth="10" defaultColWidth="8.83203125" defaultRowHeight="13" outlineLevelRow="1" outlineLevelCol="1" x14ac:dyDescent="0.15"/>
  <cols>
    <col min="1" max="1" width="61" customWidth="1"/>
    <col min="2" max="6" width="14.5" customWidth="1"/>
    <col min="7" max="8" width="14.5" customWidth="1" outlineLevel="1"/>
  </cols>
  <sheetData>
    <row r="1" spans="1:8" ht="15" thickBot="1" x14ac:dyDescent="0.2">
      <c r="A1" s="59" t="s">
        <v>4</v>
      </c>
      <c r="B1" s="59"/>
      <c r="C1" s="59"/>
      <c r="D1" s="59"/>
      <c r="E1" s="59"/>
      <c r="F1" s="59"/>
      <c r="G1" s="59"/>
      <c r="H1" s="59"/>
    </row>
    <row r="2" spans="1:8" ht="15" thickTop="1" x14ac:dyDescent="0.15">
      <c r="A2" s="1"/>
      <c r="B2" s="58">
        <v>2022</v>
      </c>
      <c r="C2" s="58">
        <v>2021</v>
      </c>
      <c r="D2" s="58">
        <v>2020</v>
      </c>
      <c r="E2" s="58">
        <v>2019</v>
      </c>
      <c r="F2" s="58">
        <v>2018</v>
      </c>
      <c r="G2" s="60">
        <v>2017</v>
      </c>
      <c r="H2" s="60">
        <v>2016</v>
      </c>
    </row>
    <row r="3" spans="1:8" x14ac:dyDescent="0.15">
      <c r="B3" s="58"/>
      <c r="C3" s="58"/>
      <c r="D3" s="58"/>
      <c r="E3" s="58">
        <v>2019</v>
      </c>
      <c r="F3" s="58"/>
      <c r="G3" s="60"/>
      <c r="H3" s="60"/>
    </row>
    <row r="4" spans="1:8" ht="15" thickBot="1" x14ac:dyDescent="0.2">
      <c r="A4" s="1"/>
      <c r="B4" s="1"/>
      <c r="C4" s="1"/>
      <c r="D4" s="1"/>
      <c r="E4" s="1"/>
      <c r="F4" s="1"/>
      <c r="G4" s="3"/>
      <c r="H4" s="3"/>
    </row>
    <row r="5" spans="1:8" ht="18" customHeight="1" thickTop="1" x14ac:dyDescent="0.15">
      <c r="A5" s="9" t="s">
        <v>32</v>
      </c>
      <c r="B5" s="10">
        <f t="shared" ref="B5:C5" si="0">B6+B7+B8</f>
        <v>4858938</v>
      </c>
      <c r="C5" s="10">
        <f t="shared" si="0"/>
        <v>4610882</v>
      </c>
      <c r="D5" s="10">
        <f>D6+D7+D8</f>
        <v>650579</v>
      </c>
      <c r="E5" s="10">
        <f>E6+E7+E8</f>
        <v>367062</v>
      </c>
      <c r="F5" s="10">
        <f>F6+F7+F8</f>
        <v>274237</v>
      </c>
      <c r="G5" s="10">
        <f>G6+G7+G8</f>
        <v>233994</v>
      </c>
      <c r="H5" s="10">
        <f>+H6+H7+H8</f>
        <v>214146</v>
      </c>
    </row>
    <row r="6" spans="1:8" ht="18" customHeight="1" x14ac:dyDescent="0.15">
      <c r="A6" s="6" t="s">
        <v>27</v>
      </c>
      <c r="B6" s="7">
        <v>3236503</v>
      </c>
      <c r="C6" s="7">
        <v>3611048</v>
      </c>
      <c r="D6" s="7">
        <v>187303</v>
      </c>
      <c r="E6" s="7">
        <v>108474</v>
      </c>
      <c r="F6" s="7">
        <v>81914</v>
      </c>
      <c r="G6" s="7">
        <v>75141</v>
      </c>
      <c r="H6" s="7">
        <v>54488</v>
      </c>
    </row>
    <row r="7" spans="1:8" ht="18" customHeight="1" x14ac:dyDescent="0.15">
      <c r="A7" s="6" t="s">
        <v>28</v>
      </c>
      <c r="B7" s="7">
        <v>1614736</v>
      </c>
      <c r="C7" s="7">
        <v>991488</v>
      </c>
      <c r="D7" s="7">
        <v>455442</v>
      </c>
      <c r="E7" s="7">
        <v>250514</v>
      </c>
      <c r="F7" s="7">
        <v>183956</v>
      </c>
      <c r="G7" s="7">
        <v>156904</v>
      </c>
      <c r="H7" s="7">
        <v>158541</v>
      </c>
    </row>
    <row r="8" spans="1:8" ht="18" customHeight="1" thickBot="1" x14ac:dyDescent="0.2">
      <c r="A8" s="6" t="s">
        <v>29</v>
      </c>
      <c r="B8" s="7">
        <v>7699</v>
      </c>
      <c r="C8" s="7">
        <v>8346</v>
      </c>
      <c r="D8" s="7">
        <v>7834</v>
      </c>
      <c r="E8" s="7">
        <v>8074</v>
      </c>
      <c r="F8" s="7">
        <v>8367</v>
      </c>
      <c r="G8" s="7">
        <v>1949</v>
      </c>
      <c r="H8" s="7">
        <v>1117</v>
      </c>
    </row>
    <row r="9" spans="1:8" ht="18" customHeight="1" thickTop="1" x14ac:dyDescent="0.15">
      <c r="A9" s="9" t="s">
        <v>33</v>
      </c>
      <c r="B9" s="10">
        <f t="shared" ref="B9:C9" si="1">B10+B14+B15+B16</f>
        <v>8211943</v>
      </c>
      <c r="C9" s="10">
        <f t="shared" si="1"/>
        <v>11354061</v>
      </c>
      <c r="D9" s="10">
        <f>D10+D14+D15+D16</f>
        <v>8968904</v>
      </c>
      <c r="E9" s="10">
        <f>E10+E14+E15+E16</f>
        <v>7187284</v>
      </c>
      <c r="F9" s="10">
        <f>F10+F14+F15+F16</f>
        <v>6192363</v>
      </c>
      <c r="G9" s="10">
        <f>G10+G14+G15+G16</f>
        <v>4925644</v>
      </c>
      <c r="H9" s="10">
        <v>4029998</v>
      </c>
    </row>
    <row r="10" spans="1:8" ht="18" customHeight="1" x14ac:dyDescent="0.15">
      <c r="A10" s="6" t="s">
        <v>34</v>
      </c>
      <c r="B10" s="7">
        <v>4509840</v>
      </c>
      <c r="C10" s="7">
        <v>7422379</v>
      </c>
      <c r="D10" s="7">
        <v>5453219</v>
      </c>
      <c r="E10" s="7">
        <v>4464476</v>
      </c>
      <c r="F10" s="7">
        <v>3293168</v>
      </c>
      <c r="G10" s="7">
        <v>3174299</v>
      </c>
      <c r="H10" s="7">
        <f>H9-H14-H15-H16</f>
        <v>2720638</v>
      </c>
    </row>
    <row r="11" spans="1:8" ht="18" customHeight="1" outlineLevel="1" x14ac:dyDescent="0.15">
      <c r="A11" s="30" t="s">
        <v>20</v>
      </c>
      <c r="B11" s="31">
        <v>240667</v>
      </c>
      <c r="C11" s="31">
        <v>102963</v>
      </c>
      <c r="D11" s="31">
        <v>13338</v>
      </c>
      <c r="E11" s="31">
        <v>16885</v>
      </c>
      <c r="F11" s="31">
        <v>10117</v>
      </c>
      <c r="G11" s="31">
        <v>9993</v>
      </c>
      <c r="H11" s="31">
        <v>3929</v>
      </c>
    </row>
    <row r="12" spans="1:8" ht="18" customHeight="1" outlineLevel="1" x14ac:dyDescent="0.15">
      <c r="A12" s="30" t="s">
        <v>21</v>
      </c>
      <c r="B12" s="31">
        <v>4041632</v>
      </c>
      <c r="C12" s="31">
        <v>6894098</v>
      </c>
      <c r="D12" s="31">
        <v>5140519</v>
      </c>
      <c r="E12" s="31">
        <v>4347308</v>
      </c>
      <c r="F12" s="31">
        <v>3283051</v>
      </c>
      <c r="G12" s="31">
        <v>3164097</v>
      </c>
      <c r="H12" s="31">
        <v>2716709</v>
      </c>
    </row>
    <row r="13" spans="1:8" ht="18" customHeight="1" outlineLevel="1" x14ac:dyDescent="0.15">
      <c r="A13" s="30" t="s">
        <v>35</v>
      </c>
      <c r="B13" s="31">
        <f>B10-B11-B12</f>
        <v>227541</v>
      </c>
      <c r="C13" s="31">
        <f t="shared" ref="C13:H13" si="2">C10-C11-C12</f>
        <v>425318</v>
      </c>
      <c r="D13" s="31">
        <f t="shared" si="2"/>
        <v>299362</v>
      </c>
      <c r="E13" s="31">
        <f t="shared" si="2"/>
        <v>100283</v>
      </c>
      <c r="F13" s="31">
        <f t="shared" si="2"/>
        <v>0</v>
      </c>
      <c r="G13" s="31">
        <f t="shared" si="2"/>
        <v>209</v>
      </c>
      <c r="H13" s="31">
        <f t="shared" si="2"/>
        <v>0</v>
      </c>
    </row>
    <row r="14" spans="1:8" ht="18" customHeight="1" x14ac:dyDescent="0.15">
      <c r="A14" s="6" t="s">
        <v>30</v>
      </c>
      <c r="B14" s="7">
        <v>45869</v>
      </c>
      <c r="C14" s="7">
        <v>26390</v>
      </c>
      <c r="D14" s="7">
        <v>24318</v>
      </c>
      <c r="E14" s="7">
        <v>20313</v>
      </c>
      <c r="F14" s="7">
        <v>18389</v>
      </c>
      <c r="G14" s="7">
        <v>8854</v>
      </c>
      <c r="H14" s="7">
        <v>0</v>
      </c>
    </row>
    <row r="15" spans="1:8" ht="18" customHeight="1" x14ac:dyDescent="0.15">
      <c r="A15" s="6" t="s">
        <v>31</v>
      </c>
      <c r="B15" s="7">
        <v>3049329</v>
      </c>
      <c r="C15" s="7">
        <v>3153553</v>
      </c>
      <c r="D15" s="7">
        <v>2483680</v>
      </c>
      <c r="E15" s="7">
        <v>1852945</v>
      </c>
      <c r="F15" s="7">
        <v>1691263</v>
      </c>
      <c r="G15" s="7">
        <f>1404718-8854</f>
        <v>1395864</v>
      </c>
      <c r="H15" s="7">
        <v>1006275</v>
      </c>
    </row>
    <row r="16" spans="1:8" ht="18" customHeight="1" x14ac:dyDescent="0.15">
      <c r="A16" s="6" t="s">
        <v>26</v>
      </c>
      <c r="B16" s="7">
        <v>606905</v>
      </c>
      <c r="C16" s="7">
        <v>751739</v>
      </c>
      <c r="D16" s="7">
        <v>1007687</v>
      </c>
      <c r="E16" s="7">
        <v>849550</v>
      </c>
      <c r="F16" s="7">
        <v>1189543</v>
      </c>
      <c r="G16" s="7">
        <v>346627</v>
      </c>
      <c r="H16" s="7">
        <v>303085</v>
      </c>
    </row>
    <row r="17" spans="1:8" ht="18" customHeight="1" thickBot="1" x14ac:dyDescent="0.2">
      <c r="A17" s="17" t="s">
        <v>37</v>
      </c>
      <c r="B17" s="40">
        <v>590933</v>
      </c>
      <c r="C17" s="40">
        <v>368875</v>
      </c>
      <c r="D17" s="18">
        <v>169233</v>
      </c>
      <c r="E17" s="18">
        <v>168837</v>
      </c>
      <c r="F17" s="18">
        <v>349490</v>
      </c>
      <c r="G17" s="18">
        <v>226263</v>
      </c>
      <c r="H17" s="18">
        <v>152318</v>
      </c>
    </row>
    <row r="18" spans="1:8" ht="18" customHeight="1" thickTop="1" thickBot="1" x14ac:dyDescent="0.2">
      <c r="A18" s="15" t="s">
        <v>0</v>
      </c>
      <c r="B18" s="16">
        <f>B17+B9+B5</f>
        <v>13661814</v>
      </c>
      <c r="C18" s="16">
        <f>C17+C9+C5</f>
        <v>16333818</v>
      </c>
      <c r="D18" s="16">
        <f>D17+D9+D5</f>
        <v>9788716</v>
      </c>
      <c r="E18" s="16">
        <f>E17+E9+E5</f>
        <v>7723183</v>
      </c>
      <c r="F18" s="16">
        <f>F5+F9+F17</f>
        <v>6816090</v>
      </c>
      <c r="G18" s="16">
        <f>G5+G9+G17</f>
        <v>5385901</v>
      </c>
      <c r="H18" s="16">
        <f>H5+H9+H17</f>
        <v>4396462</v>
      </c>
    </row>
    <row r="19" spans="1:8" ht="18" customHeight="1" thickTop="1" thickBot="1" x14ac:dyDescent="0.2">
      <c r="A19" s="1"/>
      <c r="B19" s="1"/>
      <c r="C19" s="1"/>
      <c r="D19" s="1"/>
      <c r="E19" s="1"/>
      <c r="F19" s="1"/>
      <c r="G19" s="1"/>
      <c r="H19" s="1"/>
    </row>
    <row r="20" spans="1:8" ht="18" customHeight="1" thickTop="1" x14ac:dyDescent="0.15">
      <c r="A20" s="9" t="s">
        <v>36</v>
      </c>
      <c r="B20" s="10">
        <f t="shared" ref="B20:C20" si="3">B21+B22+B23+B24+B25</f>
        <v>3204930</v>
      </c>
      <c r="C20" s="10">
        <f t="shared" si="3"/>
        <v>2551285</v>
      </c>
      <c r="D20" s="10">
        <f>D21+D22+D23+D24+D25</f>
        <v>2195148</v>
      </c>
      <c r="E20" s="10">
        <f>E21+E22+E23+E24+E25</f>
        <v>1110219</v>
      </c>
      <c r="F20" s="10">
        <f>F21+F22+F23+F24+F25</f>
        <v>1024078</v>
      </c>
      <c r="G20" s="10">
        <f>G21+G22+G23+G24+G25</f>
        <v>864088</v>
      </c>
      <c r="H20" s="10">
        <f>+H21+H22+H24+H25+H23</f>
        <v>699721</v>
      </c>
    </row>
    <row r="21" spans="1:8" ht="18" customHeight="1" x14ac:dyDescent="0.15">
      <c r="A21" s="6" t="s">
        <v>43</v>
      </c>
      <c r="B21" s="7">
        <v>2000</v>
      </c>
      <c r="C21" s="7">
        <v>2000</v>
      </c>
      <c r="D21" s="7">
        <v>2000</v>
      </c>
      <c r="E21" s="7">
        <v>2000</v>
      </c>
      <c r="F21" s="7">
        <v>2000</v>
      </c>
      <c r="G21" s="7">
        <v>2000</v>
      </c>
      <c r="H21" s="7">
        <v>2000</v>
      </c>
    </row>
    <row r="22" spans="1:8" ht="18" customHeight="1" x14ac:dyDescent="0.15">
      <c r="A22" s="6" t="s">
        <v>44</v>
      </c>
      <c r="B22" s="7">
        <v>-1955</v>
      </c>
      <c r="C22" s="7">
        <v>-1308</v>
      </c>
      <c r="D22" s="7">
        <v>-820</v>
      </c>
      <c r="E22" s="7">
        <v>-480</v>
      </c>
      <c r="F22" s="7">
        <v>-187</v>
      </c>
      <c r="G22" s="7">
        <v>-93</v>
      </c>
      <c r="H22" s="7">
        <v>21</v>
      </c>
    </row>
    <row r="23" spans="1:8" ht="18" customHeight="1" x14ac:dyDescent="0.15">
      <c r="A23" s="6" t="s">
        <v>45</v>
      </c>
      <c r="B23" s="7">
        <v>400</v>
      </c>
      <c r="C23" s="7">
        <v>400</v>
      </c>
      <c r="D23" s="7">
        <v>400</v>
      </c>
      <c r="E23" s="7">
        <v>400</v>
      </c>
      <c r="F23" s="7">
        <v>400</v>
      </c>
      <c r="G23" s="7">
        <v>400</v>
      </c>
      <c r="H23" s="7">
        <v>400</v>
      </c>
    </row>
    <row r="24" spans="1:8" ht="18" customHeight="1" x14ac:dyDescent="0.15">
      <c r="A24" s="6" t="s">
        <v>46</v>
      </c>
      <c r="B24" s="7">
        <v>2550193</v>
      </c>
      <c r="C24" s="7">
        <v>53283</v>
      </c>
      <c r="D24" s="7">
        <v>53283</v>
      </c>
      <c r="E24" s="7">
        <v>53283</v>
      </c>
      <c r="F24" s="7">
        <v>53283</v>
      </c>
      <c r="G24" s="7">
        <v>53283</v>
      </c>
      <c r="H24" s="7">
        <v>53284</v>
      </c>
    </row>
    <row r="25" spans="1:8" ht="18" customHeight="1" thickBot="1" x14ac:dyDescent="0.2">
      <c r="A25" s="6" t="s">
        <v>47</v>
      </c>
      <c r="B25" s="7">
        <v>654292</v>
      </c>
      <c r="C25" s="7">
        <v>2496910</v>
      </c>
      <c r="D25" s="7">
        <f t="shared" ref="D25:H25" si="4">D60</f>
        <v>2140285</v>
      </c>
      <c r="E25" s="7">
        <f t="shared" si="4"/>
        <v>1055016</v>
      </c>
      <c r="F25" s="7">
        <f t="shared" si="4"/>
        <v>968582</v>
      </c>
      <c r="G25" s="7">
        <f t="shared" si="4"/>
        <v>808498</v>
      </c>
      <c r="H25" s="7">
        <f t="shared" si="4"/>
        <v>644016</v>
      </c>
    </row>
    <row r="26" spans="1:8" ht="18" customHeight="1" thickTop="1" x14ac:dyDescent="0.15">
      <c r="A26" s="9" t="s">
        <v>40</v>
      </c>
      <c r="B26" s="10">
        <f t="shared" ref="B26:G26" si="5">B27+B28+B31</f>
        <v>9952866</v>
      </c>
      <c r="C26" s="10">
        <f t="shared" si="5"/>
        <v>13117550</v>
      </c>
      <c r="D26" s="10">
        <f t="shared" si="5"/>
        <v>7065960</v>
      </c>
      <c r="E26" s="10">
        <f t="shared" si="5"/>
        <v>6194036</v>
      </c>
      <c r="F26" s="10">
        <f t="shared" si="5"/>
        <v>5474514</v>
      </c>
      <c r="G26" s="10">
        <f t="shared" si="5"/>
        <v>4283073</v>
      </c>
      <c r="H26" s="10">
        <f>H27+H28+H31</f>
        <v>3434425</v>
      </c>
    </row>
    <row r="27" spans="1:8" ht="18" customHeight="1" x14ac:dyDescent="0.15">
      <c r="A27" s="6" t="s">
        <v>14</v>
      </c>
      <c r="B27" s="7">
        <v>15412</v>
      </c>
      <c r="C27" s="7">
        <v>30243</v>
      </c>
      <c r="D27" s="7">
        <v>27500</v>
      </c>
      <c r="E27" s="7">
        <v>28500</v>
      </c>
      <c r="F27" s="7">
        <v>4500</v>
      </c>
      <c r="G27" s="7">
        <v>12465</v>
      </c>
      <c r="H27" s="7">
        <v>17477</v>
      </c>
    </row>
    <row r="28" spans="1:8" ht="18" customHeight="1" x14ac:dyDescent="0.15">
      <c r="A28" s="6" t="s">
        <v>41</v>
      </c>
      <c r="B28" s="7">
        <v>2473108</v>
      </c>
      <c r="C28" s="7">
        <v>2571252</v>
      </c>
      <c r="D28" s="7">
        <v>0</v>
      </c>
      <c r="E28" s="7">
        <v>0</v>
      </c>
      <c r="F28" s="7">
        <v>0</v>
      </c>
      <c r="G28" s="7">
        <v>308370</v>
      </c>
      <c r="H28" s="7">
        <v>65267</v>
      </c>
    </row>
    <row r="29" spans="1:8" ht="18" customHeight="1" outlineLevel="1" x14ac:dyDescent="0.15">
      <c r="A29" s="32" t="s">
        <v>38</v>
      </c>
      <c r="B29" s="33">
        <v>1960000</v>
      </c>
      <c r="C29" s="33">
        <v>2520000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18" customHeight="1" outlineLevel="1" x14ac:dyDescent="0.15">
      <c r="A30" s="32" t="s">
        <v>39</v>
      </c>
      <c r="B30" s="33">
        <f>B28-B29</f>
        <v>513108</v>
      </c>
      <c r="C30" s="33">
        <f t="shared" ref="C30:H30" si="6">C28-C29</f>
        <v>51252</v>
      </c>
      <c r="D30" s="33">
        <f t="shared" si="6"/>
        <v>0</v>
      </c>
      <c r="E30" s="33">
        <f t="shared" si="6"/>
        <v>0</v>
      </c>
      <c r="F30" s="33">
        <f t="shared" si="6"/>
        <v>0</v>
      </c>
      <c r="G30" s="33">
        <f t="shared" si="6"/>
        <v>308370</v>
      </c>
      <c r="H30" s="33">
        <f t="shared" si="6"/>
        <v>65267</v>
      </c>
    </row>
    <row r="31" spans="1:8" ht="18" customHeight="1" x14ac:dyDescent="0.15">
      <c r="A31" s="6" t="s">
        <v>15</v>
      </c>
      <c r="B31" s="7">
        <v>7464346</v>
      </c>
      <c r="C31" s="7">
        <v>10516055</v>
      </c>
      <c r="D31" s="7">
        <v>7038460</v>
      </c>
      <c r="E31" s="7">
        <v>6165536</v>
      </c>
      <c r="F31" s="7">
        <v>5470014</v>
      </c>
      <c r="G31" s="7">
        <v>3962238</v>
      </c>
      <c r="H31" s="7">
        <v>3351681</v>
      </c>
    </row>
    <row r="32" spans="1:8" ht="18" customHeight="1" outlineLevel="1" x14ac:dyDescent="0.15">
      <c r="A32" s="32" t="s">
        <v>42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</row>
    <row r="33" spans="1:8" ht="18" customHeight="1" x14ac:dyDescent="0.15">
      <c r="A33" s="17" t="s">
        <v>37</v>
      </c>
      <c r="B33" s="18">
        <v>504018</v>
      </c>
      <c r="C33" s="18">
        <v>664983</v>
      </c>
      <c r="D33" s="18">
        <v>527608</v>
      </c>
      <c r="E33" s="18">
        <v>418928</v>
      </c>
      <c r="F33" s="18">
        <v>317498</v>
      </c>
      <c r="G33" s="18">
        <v>238740</v>
      </c>
      <c r="H33" s="18">
        <v>262316</v>
      </c>
    </row>
    <row r="34" spans="1:8" ht="18" customHeight="1" thickBot="1" x14ac:dyDescent="0.2">
      <c r="A34" s="11" t="s">
        <v>16</v>
      </c>
      <c r="B34" s="12">
        <f t="shared" ref="B34:C34" si="7">B20+B26+B33</f>
        <v>13661814</v>
      </c>
      <c r="C34" s="12">
        <f t="shared" si="7"/>
        <v>16333818</v>
      </c>
      <c r="D34" s="12">
        <f>D20+D26+D33</f>
        <v>9788716</v>
      </c>
      <c r="E34" s="12">
        <f>E20+E26+E33</f>
        <v>7723183</v>
      </c>
      <c r="F34" s="12">
        <f>F20+F26+F33</f>
        <v>6816090</v>
      </c>
      <c r="G34" s="12">
        <f>G33+G26+G20</f>
        <v>5385901</v>
      </c>
      <c r="H34" s="12">
        <f>H33+H26+H20</f>
        <v>4396462</v>
      </c>
    </row>
    <row r="35" spans="1:8" ht="15" thickTop="1" x14ac:dyDescent="0.15">
      <c r="A35" s="13"/>
      <c r="B35" s="13"/>
      <c r="C35" s="13"/>
      <c r="D35" s="13"/>
      <c r="E35" s="13"/>
      <c r="F35" s="14"/>
      <c r="G35" s="14"/>
      <c r="H35" s="14"/>
    </row>
    <row r="36" spans="1:8" ht="15" thickBot="1" x14ac:dyDescent="0.2">
      <c r="A36" s="59" t="s">
        <v>5</v>
      </c>
      <c r="B36" s="59"/>
      <c r="C36" s="59"/>
      <c r="D36" s="59"/>
      <c r="E36" s="59"/>
      <c r="F36" s="59"/>
      <c r="G36" s="59"/>
      <c r="H36" s="59"/>
    </row>
    <row r="37" spans="1:8" ht="15" thickTop="1" x14ac:dyDescent="0.15">
      <c r="A37" s="2"/>
      <c r="B37" s="2"/>
      <c r="C37" s="2"/>
      <c r="D37" s="2"/>
      <c r="E37" s="2"/>
      <c r="F37" s="2"/>
      <c r="G37" s="2"/>
      <c r="H37" s="2"/>
    </row>
    <row r="38" spans="1:8" ht="14" x14ac:dyDescent="0.15">
      <c r="A38" s="2"/>
      <c r="B38" s="58">
        <v>2022</v>
      </c>
      <c r="C38" s="58">
        <v>2021</v>
      </c>
      <c r="D38" s="58">
        <v>2020</v>
      </c>
      <c r="E38" s="58">
        <v>2019</v>
      </c>
      <c r="F38" s="58">
        <v>2018</v>
      </c>
      <c r="G38" s="58">
        <v>2017</v>
      </c>
      <c r="H38" s="58">
        <v>2016</v>
      </c>
    </row>
    <row r="39" spans="1:8" ht="14" x14ac:dyDescent="0.15">
      <c r="A39" s="2"/>
      <c r="B39" s="58"/>
      <c r="C39" s="58"/>
      <c r="D39" s="58"/>
      <c r="E39" s="58"/>
      <c r="F39" s="58"/>
      <c r="G39" s="58">
        <v>2017</v>
      </c>
      <c r="H39" s="58">
        <v>2016</v>
      </c>
    </row>
    <row r="40" spans="1:8" ht="15" thickBot="1" x14ac:dyDescent="0.2">
      <c r="A40" s="8"/>
      <c r="B40" s="8"/>
      <c r="C40" s="8"/>
      <c r="D40" s="8"/>
      <c r="E40" s="8"/>
      <c r="F40" s="8"/>
      <c r="G40" s="4"/>
      <c r="H40" s="4"/>
    </row>
    <row r="41" spans="1:8" ht="23" customHeight="1" thickTop="1" x14ac:dyDescent="0.15">
      <c r="A41" s="34" t="s">
        <v>18</v>
      </c>
      <c r="B41" s="5">
        <v>38660831</v>
      </c>
      <c r="C41" s="5">
        <v>42375790</v>
      </c>
      <c r="D41" s="5">
        <v>35293531</v>
      </c>
      <c r="E41" s="5">
        <v>27564288</v>
      </c>
      <c r="F41" s="5">
        <v>23518340</v>
      </c>
      <c r="G41" s="5">
        <v>19848199</v>
      </c>
      <c r="H41" s="5">
        <v>16640473</v>
      </c>
    </row>
    <row r="42" spans="1:8" ht="23" customHeight="1" x14ac:dyDescent="0.15">
      <c r="A42" s="35" t="s">
        <v>17</v>
      </c>
      <c r="B42" s="19">
        <v>33137128</v>
      </c>
      <c r="C42" s="19">
        <v>35172427</v>
      </c>
      <c r="D42" s="19">
        <v>29300746</v>
      </c>
      <c r="E42" s="19">
        <v>23493842</v>
      </c>
      <c r="F42" s="19">
        <v>20221583</v>
      </c>
      <c r="G42" s="19">
        <v>17217333</v>
      </c>
      <c r="H42" s="19">
        <v>14556885</v>
      </c>
    </row>
    <row r="43" spans="1:8" ht="23" customHeight="1" x14ac:dyDescent="0.15">
      <c r="A43" s="35" t="s">
        <v>22</v>
      </c>
      <c r="B43" s="19">
        <v>2331322</v>
      </c>
      <c r="C43" s="19">
        <v>2619378</v>
      </c>
      <c r="D43" s="19">
        <v>2103612</v>
      </c>
      <c r="E43" s="19">
        <f>1601047</f>
        <v>1601047</v>
      </c>
      <c r="F43" s="19">
        <v>1391819</v>
      </c>
      <c r="G43" s="19">
        <v>1105744</v>
      </c>
      <c r="H43" s="19">
        <v>728334</v>
      </c>
    </row>
    <row r="44" spans="1:8" ht="23" customHeight="1" x14ac:dyDescent="0.15">
      <c r="A44" s="36" t="s">
        <v>48</v>
      </c>
      <c r="B44" s="7">
        <f>37471977-B42</f>
        <v>4334849</v>
      </c>
      <c r="C44" s="7">
        <f>39855081-C42</f>
        <v>4682654</v>
      </c>
      <c r="D44" s="7">
        <f>33368091-D42</f>
        <v>4067345</v>
      </c>
      <c r="E44" s="7">
        <f>233085+3186104</f>
        <v>3419189</v>
      </c>
      <c r="F44" s="7">
        <f>22823513-F42</f>
        <v>2601930</v>
      </c>
      <c r="G44" s="7">
        <f>19298463-G42+31116</f>
        <v>2112246</v>
      </c>
      <c r="H44" s="7">
        <f>16167572-H42+17027</f>
        <v>1627714</v>
      </c>
    </row>
    <row r="45" spans="1:8" ht="23" customHeight="1" x14ac:dyDescent="0.15">
      <c r="A45" s="36" t="s">
        <v>51</v>
      </c>
      <c r="B45" s="7">
        <v>-61749</v>
      </c>
      <c r="C45" s="7">
        <v>-24182</v>
      </c>
      <c r="D45" s="7">
        <v>-7737</v>
      </c>
      <c r="E45" s="7">
        <v>-28795</v>
      </c>
      <c r="F45" s="7">
        <v>-34010</v>
      </c>
      <c r="G45" s="7">
        <v>-31116</v>
      </c>
      <c r="H45" s="7">
        <v>-17027</v>
      </c>
    </row>
    <row r="46" spans="1:8" ht="23" customHeight="1" x14ac:dyDescent="0.15">
      <c r="A46" s="36" t="s">
        <v>49</v>
      </c>
      <c r="B46" s="7">
        <v>2044580</v>
      </c>
      <c r="C46" s="7">
        <v>1645319</v>
      </c>
      <c r="D46" s="7">
        <v>1254826</v>
      </c>
      <c r="E46" s="7">
        <v>901629</v>
      </c>
      <c r="F46" s="7">
        <v>746855</v>
      </c>
      <c r="G46" s="7">
        <v>572526</v>
      </c>
      <c r="H46" s="7">
        <v>417418</v>
      </c>
    </row>
    <row r="47" spans="1:8" ht="23" customHeight="1" x14ac:dyDescent="0.15">
      <c r="A47" s="36" t="s">
        <v>52</v>
      </c>
      <c r="B47" s="7">
        <v>755292</v>
      </c>
      <c r="C47" s="7">
        <v>443210</v>
      </c>
      <c r="D47" s="7">
        <v>132826</v>
      </c>
      <c r="E47" s="7">
        <v>153190</v>
      </c>
      <c r="F47" s="7">
        <v>179822</v>
      </c>
      <c r="G47" s="7">
        <v>132039</v>
      </c>
      <c r="H47" s="7">
        <v>40428</v>
      </c>
    </row>
    <row r="48" spans="1:8" ht="23" customHeight="1" x14ac:dyDescent="0.15">
      <c r="A48" s="42" t="s">
        <v>53</v>
      </c>
      <c r="B48" s="43">
        <f>B65</f>
        <v>165685.63999999998</v>
      </c>
      <c r="C48" s="43">
        <f t="shared" ref="C48:H48" si="8">C65</f>
        <v>175862.13500000001</v>
      </c>
      <c r="D48" s="43">
        <f t="shared" si="8"/>
        <v>146503.72999999998</v>
      </c>
      <c r="E48" s="43">
        <f t="shared" si="8"/>
        <v>117469.20999999999</v>
      </c>
      <c r="F48" s="43">
        <f t="shared" si="8"/>
        <v>101107.91499999999</v>
      </c>
      <c r="G48" s="43">
        <f t="shared" si="8"/>
        <v>86086.664999999994</v>
      </c>
      <c r="H48" s="43">
        <f t="shared" si="8"/>
        <v>72784.424999999988</v>
      </c>
    </row>
    <row r="49" spans="1:9" ht="23" customHeight="1" x14ac:dyDescent="0.15">
      <c r="A49" s="36" t="s">
        <v>2</v>
      </c>
      <c r="B49" s="7">
        <v>370189</v>
      </c>
      <c r="C49" s="7">
        <v>388314</v>
      </c>
      <c r="D49" s="7">
        <v>346046</v>
      </c>
      <c r="E49" s="7">
        <v>317003</v>
      </c>
      <c r="F49" s="7">
        <v>261599</v>
      </c>
      <c r="G49" s="7">
        <v>213494</v>
      </c>
      <c r="H49" s="7">
        <v>185750</v>
      </c>
    </row>
    <row r="50" spans="1:9" ht="23" customHeight="1" x14ac:dyDescent="0.15">
      <c r="A50" s="42" t="s">
        <v>64</v>
      </c>
      <c r="B50" s="43">
        <f>B67+B68</f>
        <v>8888</v>
      </c>
      <c r="C50" s="43">
        <f t="shared" ref="C50:H50" si="9">C67+C68</f>
        <v>8772</v>
      </c>
      <c r="D50" s="43">
        <f t="shared" si="9"/>
        <v>1865</v>
      </c>
      <c r="E50" s="43">
        <f t="shared" si="9"/>
        <v>2807</v>
      </c>
      <c r="F50" s="43">
        <f t="shared" si="9"/>
        <v>2104</v>
      </c>
      <c r="G50" s="43">
        <f t="shared" si="9"/>
        <v>2121</v>
      </c>
      <c r="H50" s="43">
        <f t="shared" si="9"/>
        <v>4309</v>
      </c>
    </row>
    <row r="51" spans="1:9" ht="23" customHeight="1" x14ac:dyDescent="0.15">
      <c r="A51" s="36" t="s">
        <v>50</v>
      </c>
      <c r="B51" s="7">
        <v>232238</v>
      </c>
      <c r="C51" s="7">
        <v>199197</v>
      </c>
      <c r="D51" s="7">
        <v>192542</v>
      </c>
      <c r="E51" s="7">
        <f>129151</f>
        <v>129151</v>
      </c>
      <c r="F51" s="7">
        <v>144109</v>
      </c>
      <c r="G51" s="7">
        <f>137022-31116</f>
        <v>105906</v>
      </c>
      <c r="H51" s="7">
        <f>93660-17027</f>
        <v>76633</v>
      </c>
    </row>
    <row r="52" spans="1:9" ht="23" customHeight="1" x14ac:dyDescent="0.15">
      <c r="A52" s="42" t="s">
        <v>63</v>
      </c>
      <c r="B52" s="43">
        <f>B69+B70</f>
        <v>5996</v>
      </c>
      <c r="C52" s="43">
        <f t="shared" ref="C52:H52" si="10">C69+C70</f>
        <v>3801</v>
      </c>
      <c r="D52" s="43">
        <f t="shared" si="10"/>
        <v>1122</v>
      </c>
      <c r="E52" s="43">
        <f t="shared" si="10"/>
        <v>908</v>
      </c>
      <c r="F52" s="43">
        <f t="shared" si="10"/>
        <v>1274</v>
      </c>
      <c r="G52" s="43">
        <f t="shared" si="10"/>
        <v>860</v>
      </c>
      <c r="H52" s="43">
        <f t="shared" si="10"/>
        <v>3263</v>
      </c>
    </row>
    <row r="53" spans="1:9" ht="23" customHeight="1" x14ac:dyDescent="0.15">
      <c r="A53" s="37" t="s">
        <v>25</v>
      </c>
      <c r="B53" s="20">
        <f>B41-B42+B43-B44-B46-B47+B49-B51-B45</f>
        <v>920004</v>
      </c>
      <c r="C53" s="20">
        <f>C41-C42+C43-C44-C46-C47+C49-C51-C45</f>
        <v>3264857</v>
      </c>
      <c r="D53" s="20">
        <f t="shared" ref="D53:H53" si="11">D41-D42+D43-D44-D46-D47+D49-D51-D45</f>
        <v>2802641</v>
      </c>
      <c r="E53" s="20">
        <f t="shared" si="11"/>
        <v>1414132</v>
      </c>
      <c r="F53" s="20">
        <f t="shared" si="11"/>
        <v>1311469</v>
      </c>
      <c r="G53" s="20">
        <f t="shared" si="11"/>
        <v>1058503</v>
      </c>
      <c r="H53" s="20">
        <f t="shared" si="11"/>
        <v>852506</v>
      </c>
      <c r="I53" s="29"/>
    </row>
    <row r="54" spans="1:9" ht="23" customHeight="1" x14ac:dyDescent="0.15">
      <c r="A54" s="36" t="s">
        <v>8</v>
      </c>
      <c r="B54" s="7">
        <f>73763+262625</f>
        <v>336388</v>
      </c>
      <c r="C54" s="7">
        <f>53471+170160</f>
        <v>223631</v>
      </c>
      <c r="D54" s="7">
        <f>58810+159677</f>
        <v>218487</v>
      </c>
      <c r="E54" s="7">
        <f>40000+44746</f>
        <v>84746</v>
      </c>
      <c r="F54" s="7">
        <v>20273</v>
      </c>
      <c r="G54" s="7">
        <v>12959</v>
      </c>
      <c r="H54" s="7">
        <v>11910</v>
      </c>
    </row>
    <row r="55" spans="1:9" ht="23" customHeight="1" x14ac:dyDescent="0.15">
      <c r="A55" s="36" t="s">
        <v>13</v>
      </c>
      <c r="B55" s="7">
        <v>323867</v>
      </c>
      <c r="C55" s="7">
        <v>85810</v>
      </c>
      <c r="D55" s="7">
        <v>38550</v>
      </c>
      <c r="E55" s="7">
        <v>16457</v>
      </c>
      <c r="F55" s="7">
        <v>30758</v>
      </c>
      <c r="G55" s="7">
        <v>25455</v>
      </c>
      <c r="H55" s="7">
        <v>10142</v>
      </c>
    </row>
    <row r="56" spans="1:9" ht="23" customHeight="1" x14ac:dyDescent="0.15">
      <c r="A56" s="36" t="s">
        <v>6</v>
      </c>
      <c r="B56" s="7">
        <f>683808+79985</f>
        <v>763793</v>
      </c>
      <c r="C56" s="7">
        <f>513245+59585</f>
        <v>572830</v>
      </c>
      <c r="D56" s="7">
        <f>477647+163153</f>
        <v>640800</v>
      </c>
      <c r="E56" s="7">
        <f>212092+27501</f>
        <v>239593</v>
      </c>
      <c r="F56" s="7">
        <f>7142+165705</f>
        <v>172847</v>
      </c>
      <c r="G56" s="7">
        <v>132526</v>
      </c>
      <c r="H56" s="7">
        <v>84598</v>
      </c>
    </row>
    <row r="57" spans="1:9" ht="23" customHeight="1" x14ac:dyDescent="0.15">
      <c r="A57" s="36" t="s">
        <v>7</v>
      </c>
      <c r="B57" s="7">
        <f>445531+159644</f>
        <v>605175</v>
      </c>
      <c r="C57" s="7">
        <f>235565+26377</f>
        <v>261942</v>
      </c>
      <c r="D57" s="7">
        <f>291297+95</f>
        <v>291392</v>
      </c>
      <c r="E57" s="7">
        <f>76861+448</f>
        <v>77309</v>
      </c>
      <c r="F57" s="7">
        <f>4393+180+61414</f>
        <v>65987</v>
      </c>
      <c r="G57" s="7">
        <f>76082+140</f>
        <v>76222</v>
      </c>
      <c r="H57" s="7">
        <f>20476+266</f>
        <v>20742</v>
      </c>
    </row>
    <row r="58" spans="1:9" ht="23" customHeight="1" x14ac:dyDescent="0.15">
      <c r="A58" s="38" t="s">
        <v>24</v>
      </c>
      <c r="B58" s="20">
        <f t="shared" ref="B58:H58" si="12">B53+B54-B55-B56+B57</f>
        <v>773907</v>
      </c>
      <c r="C58" s="20">
        <f>C53+C54-C55-C56+C57</f>
        <v>3091790</v>
      </c>
      <c r="D58" s="20">
        <f t="shared" si="12"/>
        <v>2633170</v>
      </c>
      <c r="E58" s="20">
        <f t="shared" si="12"/>
        <v>1320137</v>
      </c>
      <c r="F58" s="20">
        <f t="shared" si="12"/>
        <v>1194124</v>
      </c>
      <c r="G58" s="20">
        <f t="shared" si="12"/>
        <v>989703</v>
      </c>
      <c r="H58" s="20">
        <f t="shared" si="12"/>
        <v>790418</v>
      </c>
    </row>
    <row r="59" spans="1:9" ht="23" customHeight="1" x14ac:dyDescent="0.15">
      <c r="A59" s="36" t="s">
        <v>3</v>
      </c>
      <c r="B59" s="7">
        <v>119615</v>
      </c>
      <c r="C59" s="7">
        <v>594880</v>
      </c>
      <c r="D59" s="7">
        <v>492885</v>
      </c>
      <c r="E59" s="7">
        <v>265121</v>
      </c>
      <c r="F59" s="7">
        <v>225542</v>
      </c>
      <c r="G59" s="7">
        <v>181205</v>
      </c>
      <c r="H59" s="7">
        <v>146402</v>
      </c>
    </row>
    <row r="60" spans="1:9" ht="23" customHeight="1" thickBot="1" x14ac:dyDescent="0.2">
      <c r="A60" s="39" t="s">
        <v>23</v>
      </c>
      <c r="B60" s="21">
        <f t="shared" ref="B60:H60" si="13">B58-B59</f>
        <v>654292</v>
      </c>
      <c r="C60" s="21">
        <f t="shared" si="13"/>
        <v>2496910</v>
      </c>
      <c r="D60" s="21">
        <f t="shared" si="13"/>
        <v>2140285</v>
      </c>
      <c r="E60" s="21">
        <f t="shared" si="13"/>
        <v>1055016</v>
      </c>
      <c r="F60" s="21">
        <f t="shared" si="13"/>
        <v>968582</v>
      </c>
      <c r="G60" s="21">
        <f t="shared" si="13"/>
        <v>808498</v>
      </c>
      <c r="H60" s="21">
        <f t="shared" si="13"/>
        <v>644016</v>
      </c>
    </row>
    <row r="61" spans="1:9" ht="14" thickTop="1" x14ac:dyDescent="0.15"/>
    <row r="62" spans="1:9" ht="14" x14ac:dyDescent="0.15">
      <c r="A62" s="44" t="s">
        <v>54</v>
      </c>
    </row>
    <row r="63" spans="1:9" ht="14" x14ac:dyDescent="0.15">
      <c r="A63" s="45" t="s">
        <v>56</v>
      </c>
      <c r="B63" s="41">
        <v>2.5000000000000001E-3</v>
      </c>
    </row>
    <row r="64" spans="1:9" ht="14" x14ac:dyDescent="0.15">
      <c r="A64" s="45" t="s">
        <v>57</v>
      </c>
      <c r="B64" s="41">
        <v>7.4999999999999997E-3</v>
      </c>
    </row>
    <row r="65" spans="1:8" ht="14" x14ac:dyDescent="0.15">
      <c r="A65" s="46" t="s">
        <v>55</v>
      </c>
      <c r="B65" s="47">
        <f t="shared" ref="B65:H65" si="14">$B$64*B42-$B$63*B42</f>
        <v>165685.63999999998</v>
      </c>
      <c r="C65" s="47">
        <f t="shared" si="14"/>
        <v>175862.13500000001</v>
      </c>
      <c r="D65" s="47">
        <f t="shared" si="14"/>
        <v>146503.72999999998</v>
      </c>
      <c r="E65" s="47">
        <f t="shared" si="14"/>
        <v>117469.20999999999</v>
      </c>
      <c r="F65" s="47">
        <f t="shared" si="14"/>
        <v>101107.91499999999</v>
      </c>
      <c r="G65" s="47">
        <f t="shared" si="14"/>
        <v>86086.664999999994</v>
      </c>
      <c r="H65" s="47">
        <f t="shared" si="14"/>
        <v>72784.424999999988</v>
      </c>
    </row>
    <row r="67" spans="1:8" ht="14" x14ac:dyDescent="0.15">
      <c r="A67" s="45" t="s">
        <v>59</v>
      </c>
      <c r="B67" s="29">
        <v>8272</v>
      </c>
      <c r="C67" s="29">
        <v>8565</v>
      </c>
      <c r="D67" s="29">
        <v>1841</v>
      </c>
      <c r="E67" s="29">
        <v>1234</v>
      </c>
      <c r="F67" s="29">
        <v>1640</v>
      </c>
      <c r="G67" s="29">
        <v>1701</v>
      </c>
      <c r="H67" s="29">
        <v>3621</v>
      </c>
    </row>
    <row r="68" spans="1:8" ht="14" x14ac:dyDescent="0.15">
      <c r="A68" s="45" t="s">
        <v>60</v>
      </c>
      <c r="B68" s="29">
        <v>616</v>
      </c>
      <c r="C68" s="29">
        <v>207</v>
      </c>
      <c r="D68" s="29">
        <v>24</v>
      </c>
      <c r="E68" s="29">
        <v>1573</v>
      </c>
      <c r="F68" s="29">
        <v>464</v>
      </c>
      <c r="G68" s="29">
        <v>420</v>
      </c>
      <c r="H68" s="29">
        <v>688</v>
      </c>
    </row>
    <row r="69" spans="1:8" ht="14" x14ac:dyDescent="0.15">
      <c r="A69" s="45" t="s">
        <v>61</v>
      </c>
      <c r="B69" s="29">
        <v>5996</v>
      </c>
      <c r="C69" s="29">
        <v>3801</v>
      </c>
      <c r="D69" s="29">
        <v>1122</v>
      </c>
      <c r="E69" s="29">
        <v>908</v>
      </c>
      <c r="F69" s="29">
        <v>1246</v>
      </c>
      <c r="G69" s="29">
        <v>860</v>
      </c>
      <c r="H69" s="29">
        <v>3263</v>
      </c>
    </row>
    <row r="70" spans="1:8" ht="14" x14ac:dyDescent="0.15">
      <c r="A70" s="46" t="s">
        <v>62</v>
      </c>
      <c r="B70" s="47">
        <v>0</v>
      </c>
      <c r="C70" s="47">
        <v>0</v>
      </c>
      <c r="D70" s="47">
        <v>0</v>
      </c>
      <c r="E70" s="47">
        <v>0</v>
      </c>
      <c r="F70" s="47">
        <v>28</v>
      </c>
      <c r="G70" s="47">
        <v>0</v>
      </c>
      <c r="H70" s="47">
        <v>0</v>
      </c>
    </row>
    <row r="72" spans="1:8" ht="14" x14ac:dyDescent="0.15">
      <c r="A72" s="45" t="s">
        <v>65</v>
      </c>
      <c r="B72" s="29">
        <v>683808</v>
      </c>
      <c r="C72" s="29">
        <v>513245</v>
      </c>
      <c r="D72" s="29">
        <v>477647</v>
      </c>
      <c r="E72" s="29">
        <v>212092</v>
      </c>
      <c r="F72" s="29">
        <v>165705</v>
      </c>
      <c r="G72" s="29">
        <v>132526</v>
      </c>
      <c r="H72" s="29">
        <v>84598</v>
      </c>
    </row>
    <row r="73" spans="1:8" ht="14" x14ac:dyDescent="0.15">
      <c r="A73" s="46" t="s">
        <v>66</v>
      </c>
      <c r="B73" s="47">
        <v>445531</v>
      </c>
      <c r="C73" s="47">
        <v>235565</v>
      </c>
      <c r="D73" s="47">
        <v>291297</v>
      </c>
      <c r="E73" s="47">
        <v>76861</v>
      </c>
      <c r="F73" s="47">
        <v>61414</v>
      </c>
      <c r="G73" s="47">
        <v>76082</v>
      </c>
      <c r="H73" s="47">
        <v>20476</v>
      </c>
    </row>
    <row r="75" spans="1:8" ht="14" x14ac:dyDescent="0.15">
      <c r="A75" s="45" t="s">
        <v>67</v>
      </c>
      <c r="B75" s="29">
        <v>170493</v>
      </c>
      <c r="C75" s="29">
        <v>34558</v>
      </c>
      <c r="D75" s="29">
        <v>0</v>
      </c>
      <c r="E75" s="29">
        <v>11</v>
      </c>
      <c r="F75" s="29">
        <v>4</v>
      </c>
      <c r="G75" s="29">
        <v>0</v>
      </c>
      <c r="H75" s="29">
        <v>0</v>
      </c>
    </row>
    <row r="76" spans="1:8" ht="14" x14ac:dyDescent="0.15">
      <c r="A76" s="45" t="s">
        <v>68</v>
      </c>
      <c r="B76" s="29">
        <v>159644</v>
      </c>
      <c r="C76">
        <v>26377</v>
      </c>
      <c r="D76" s="29">
        <v>95</v>
      </c>
      <c r="E76" s="29">
        <v>448</v>
      </c>
      <c r="F76" s="29">
        <v>180</v>
      </c>
      <c r="G76" s="29">
        <v>140</v>
      </c>
      <c r="H76" s="29">
        <v>266</v>
      </c>
    </row>
    <row r="78" spans="1:8" ht="14" x14ac:dyDescent="0.15">
      <c r="A78" s="61" t="s">
        <v>19</v>
      </c>
      <c r="B78" s="61"/>
      <c r="C78" s="61"/>
      <c r="D78" s="61"/>
      <c r="E78" s="61"/>
      <c r="F78" s="61"/>
      <c r="G78" s="61"/>
      <c r="H78" s="61"/>
    </row>
    <row r="80" spans="1:8" ht="14" thickBot="1" x14ac:dyDescent="0.2">
      <c r="B80" s="23">
        <f>B38</f>
        <v>2022</v>
      </c>
      <c r="C80" s="23">
        <f t="shared" ref="C80:H80" si="15">C38</f>
        <v>2021</v>
      </c>
      <c r="D80" s="23">
        <f t="shared" si="15"/>
        <v>2020</v>
      </c>
      <c r="E80" s="23">
        <f t="shared" si="15"/>
        <v>2019</v>
      </c>
      <c r="F80" s="23">
        <f t="shared" si="15"/>
        <v>2018</v>
      </c>
      <c r="G80" s="23">
        <f t="shared" si="15"/>
        <v>2017</v>
      </c>
      <c r="H80" s="23">
        <f t="shared" si="15"/>
        <v>2016</v>
      </c>
    </row>
    <row r="81" spans="1:8" ht="15" thickBot="1" x14ac:dyDescent="0.2">
      <c r="A81" s="28" t="s">
        <v>9</v>
      </c>
      <c r="B81" s="27">
        <f>(B41-B42+B43-B44-B45-B46)+(B49-B50)-(B51-B52)+B73-B72+B76</f>
        <v>1593771</v>
      </c>
      <c r="C81" s="27">
        <f t="shared" ref="C81:H81" si="16">(C41-C42+C43-C44-C45-C46)+(C49-C50)-(C51-C52)+C73-C72+C76</f>
        <v>3451793</v>
      </c>
      <c r="D81" s="27">
        <f t="shared" si="16"/>
        <v>2748469</v>
      </c>
      <c r="E81" s="27">
        <f t="shared" si="16"/>
        <v>1430640</v>
      </c>
      <c r="F81" s="27">
        <f t="shared" si="16"/>
        <v>1386350</v>
      </c>
      <c r="G81" s="27">
        <f t="shared" si="16"/>
        <v>1132977</v>
      </c>
      <c r="H81" s="27">
        <f t="shared" si="16"/>
        <v>828032</v>
      </c>
    </row>
    <row r="82" spans="1:8" ht="15" thickBot="1" x14ac:dyDescent="0.2">
      <c r="A82" s="26" t="s">
        <v>10</v>
      </c>
      <c r="B82" s="22">
        <f>B81-(B47+B48)</f>
        <v>672793.36</v>
      </c>
      <c r="C82" s="22">
        <f t="shared" ref="C82:H82" si="17">C81-(C47+C48)</f>
        <v>2832720.8650000002</v>
      </c>
      <c r="D82" s="22">
        <f t="shared" si="17"/>
        <v>2469139.27</v>
      </c>
      <c r="E82" s="22">
        <f t="shared" si="17"/>
        <v>1159980.79</v>
      </c>
      <c r="F82" s="22">
        <f t="shared" si="17"/>
        <v>1105420.085</v>
      </c>
      <c r="G82" s="22">
        <f t="shared" si="17"/>
        <v>914851.33499999996</v>
      </c>
      <c r="H82" s="22">
        <f t="shared" si="17"/>
        <v>714819.57499999995</v>
      </c>
    </row>
    <row r="83" spans="1:8" ht="15" thickBot="1" x14ac:dyDescent="0.2">
      <c r="A83" s="26" t="s">
        <v>11</v>
      </c>
      <c r="B83" s="22">
        <f>B82-B75</f>
        <v>502300.36</v>
      </c>
      <c r="C83" s="22">
        <f t="shared" ref="C83:H83" si="18">C82-C75</f>
        <v>2798162.8650000002</v>
      </c>
      <c r="D83" s="22">
        <f t="shared" si="18"/>
        <v>2469139.27</v>
      </c>
      <c r="E83" s="22">
        <f t="shared" si="18"/>
        <v>1159969.79</v>
      </c>
      <c r="F83" s="22">
        <f t="shared" si="18"/>
        <v>1105416.085</v>
      </c>
      <c r="G83" s="22">
        <f t="shared" si="18"/>
        <v>914851.33499999996</v>
      </c>
      <c r="H83" s="22">
        <f t="shared" si="18"/>
        <v>714819.57499999995</v>
      </c>
    </row>
    <row r="84" spans="1:8" ht="15" thickBot="1" x14ac:dyDescent="0.2">
      <c r="A84" s="25" t="s">
        <v>12</v>
      </c>
      <c r="B84" s="24">
        <f>B83-B59</f>
        <v>382685.36</v>
      </c>
      <c r="C84" s="24">
        <f t="shared" ref="C84:H84" si="19">C83-C59</f>
        <v>2203282.8650000002</v>
      </c>
      <c r="D84" s="24">
        <f t="shared" si="19"/>
        <v>1976254.27</v>
      </c>
      <c r="E84" s="24">
        <f t="shared" si="19"/>
        <v>894848.79</v>
      </c>
      <c r="F84" s="24">
        <f t="shared" si="19"/>
        <v>879874.08499999996</v>
      </c>
      <c r="G84" s="24">
        <f t="shared" si="19"/>
        <v>733646.33499999996</v>
      </c>
      <c r="H84" s="24">
        <f t="shared" si="19"/>
        <v>568417.57499999995</v>
      </c>
    </row>
  </sheetData>
  <mergeCells count="17">
    <mergeCell ref="A78:H78"/>
    <mergeCell ref="A36:H36"/>
    <mergeCell ref="B38:B39"/>
    <mergeCell ref="C38:C39"/>
    <mergeCell ref="D38:D39"/>
    <mergeCell ref="E38:E39"/>
    <mergeCell ref="F38:F39"/>
    <mergeCell ref="G38:G39"/>
    <mergeCell ref="H38:H39"/>
    <mergeCell ref="A1:H1"/>
    <mergeCell ref="B2:B3"/>
    <mergeCell ref="C2:C3"/>
    <mergeCell ref="D2:D3"/>
    <mergeCell ref="E2:E3"/>
    <mergeCell ref="F2:F3"/>
    <mergeCell ref="G2:G3"/>
    <mergeCell ref="H2:H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55EF-2696-694C-AA2B-FA9DC6D9587E}">
  <sheetPr>
    <tabColor theme="7" tint="-0.249977111117893"/>
  </sheetPr>
  <dimension ref="A1:I59"/>
  <sheetViews>
    <sheetView topLeftCell="A15" zoomScale="140" zoomScaleNormal="140" workbookViewId="0">
      <selection activeCell="B36" sqref="B36"/>
    </sheetView>
  </sheetViews>
  <sheetFormatPr baseColWidth="10" defaultRowHeight="13" outlineLevelRow="1" x14ac:dyDescent="0.15"/>
  <cols>
    <col min="1" max="1" width="57" customWidth="1"/>
  </cols>
  <sheetData>
    <row r="1" spans="1:9" x14ac:dyDescent="0.15">
      <c r="A1" s="66" t="s">
        <v>78</v>
      </c>
      <c r="B1" s="62" cm="1">
        <f t="array" ref="B1:B2">'Alza_Vypočet ziskových úrovní'!B38:B39</f>
        <v>2022</v>
      </c>
      <c r="C1" s="62" cm="1">
        <f t="array" ref="C1:C2">'Alza_Vypočet ziskových úrovní'!C38:C39</f>
        <v>2021</v>
      </c>
      <c r="D1" s="62" cm="1">
        <f t="array" ref="D1:D2">'Alza_Vypočet ziskových úrovní'!D38:D39</f>
        <v>2020</v>
      </c>
      <c r="E1" s="62" cm="1">
        <f t="array" ref="E1:E2">'Alza_Vypočet ziskových úrovní'!E38:E39</f>
        <v>2019</v>
      </c>
      <c r="F1" s="62" cm="1">
        <f t="array" ref="F1:F2">'Alza_Vypočet ziskových úrovní'!F38:F39</f>
        <v>2018</v>
      </c>
      <c r="G1" s="62" cm="1">
        <f t="array" ref="G1:G2">'Alza_Vypočet ziskových úrovní'!G38:G39</f>
        <v>2017</v>
      </c>
      <c r="H1" s="62" cm="1">
        <f t="array" ref="H1:H2">'Alza_Vypočet ziskových úrovní'!H38:H39</f>
        <v>2016</v>
      </c>
      <c r="I1" s="49"/>
    </row>
    <row r="2" spans="1:9" ht="14" thickBot="1" x14ac:dyDescent="0.2">
      <c r="A2" s="67"/>
      <c r="B2" s="63">
        <v>0</v>
      </c>
      <c r="C2" s="63">
        <v>0</v>
      </c>
      <c r="D2" s="63">
        <v>0</v>
      </c>
      <c r="E2" s="63">
        <v>0</v>
      </c>
      <c r="F2" s="63">
        <v>0</v>
      </c>
      <c r="G2" s="63">
        <v>2017</v>
      </c>
      <c r="H2" s="63">
        <v>2016</v>
      </c>
      <c r="I2" s="49"/>
    </row>
    <row r="3" spans="1:9" s="48" customFormat="1" ht="31" customHeight="1" thickBot="1" x14ac:dyDescent="0.2">
      <c r="A3" s="71" t="s">
        <v>82</v>
      </c>
      <c r="B3" s="74" t="s">
        <v>88</v>
      </c>
      <c r="C3" s="74" t="s">
        <v>88</v>
      </c>
      <c r="D3" s="74" t="s">
        <v>88</v>
      </c>
      <c r="E3" s="74" t="s">
        <v>88</v>
      </c>
      <c r="F3" s="74" t="s">
        <v>88</v>
      </c>
      <c r="G3" s="74" t="s">
        <v>88</v>
      </c>
      <c r="H3" s="74" t="s">
        <v>88</v>
      </c>
    </row>
    <row r="4" spans="1:9" s="48" customFormat="1" ht="31" customHeight="1" thickBot="1" x14ac:dyDescent="0.2">
      <c r="A4" s="73" t="s">
        <v>83</v>
      </c>
      <c r="B4" s="75"/>
      <c r="C4" s="75"/>
      <c r="D4" s="75"/>
      <c r="E4" s="75"/>
      <c r="F4" s="75"/>
      <c r="G4" s="75"/>
      <c r="H4" s="75"/>
    </row>
    <row r="5" spans="1:9" s="48" customFormat="1" ht="31" customHeight="1" thickBot="1" x14ac:dyDescent="0.2">
      <c r="A5" s="72" t="s">
        <v>84</v>
      </c>
      <c r="B5" s="76" t="s">
        <v>88</v>
      </c>
      <c r="C5" s="76" t="s">
        <v>88</v>
      </c>
      <c r="D5" s="76" t="s">
        <v>88</v>
      </c>
      <c r="E5" s="76" t="s">
        <v>88</v>
      </c>
      <c r="F5" s="76" t="s">
        <v>88</v>
      </c>
      <c r="G5" s="76" t="s">
        <v>88</v>
      </c>
      <c r="H5" s="76" t="s">
        <v>88</v>
      </c>
    </row>
    <row r="6" spans="1:9" s="48" customFormat="1" ht="31" customHeight="1" thickBot="1" x14ac:dyDescent="0.2">
      <c r="A6" s="73" t="s">
        <v>87</v>
      </c>
      <c r="B6" s="75"/>
      <c r="C6" s="75"/>
      <c r="D6" s="75"/>
      <c r="E6" s="75"/>
      <c r="F6" s="75"/>
      <c r="G6" s="75"/>
      <c r="H6" s="75"/>
    </row>
    <row r="7" spans="1:9" s="48" customFormat="1" ht="31" customHeight="1" thickBot="1" x14ac:dyDescent="0.2">
      <c r="A7" s="72" t="s">
        <v>85</v>
      </c>
      <c r="B7" s="76" t="s">
        <v>88</v>
      </c>
      <c r="C7" s="76" t="s">
        <v>88</v>
      </c>
      <c r="D7" s="76" t="s">
        <v>88</v>
      </c>
      <c r="E7" s="76" t="s">
        <v>88</v>
      </c>
      <c r="F7" s="76" t="s">
        <v>88</v>
      </c>
      <c r="G7" s="76" t="s">
        <v>88</v>
      </c>
      <c r="H7" s="76" t="s">
        <v>88</v>
      </c>
    </row>
    <row r="8" spans="1:9" s="48" customFormat="1" ht="31" customHeight="1" thickBot="1" x14ac:dyDescent="0.2">
      <c r="A8" s="73" t="s">
        <v>86</v>
      </c>
      <c r="B8" s="75"/>
      <c r="C8" s="75"/>
      <c r="D8" s="75"/>
      <c r="E8" s="75"/>
      <c r="F8" s="75"/>
      <c r="G8" s="75"/>
      <c r="H8" s="75"/>
    </row>
    <row r="10" spans="1:9" x14ac:dyDescent="0.15">
      <c r="A10" s="23" t="s">
        <v>76</v>
      </c>
    </row>
    <row r="11" spans="1:9" x14ac:dyDescent="0.15">
      <c r="A11" s="51" t="s">
        <v>70</v>
      </c>
      <c r="B11" s="51"/>
    </row>
    <row r="12" spans="1:9" outlineLevel="1" x14ac:dyDescent="0.15">
      <c r="A12" s="52" t="s">
        <v>89</v>
      </c>
      <c r="B12" s="55"/>
      <c r="C12" s="55"/>
      <c r="D12" s="55"/>
      <c r="E12" s="55"/>
      <c r="F12" s="55"/>
      <c r="G12" s="55"/>
      <c r="H12" s="55"/>
    </row>
    <row r="13" spans="1:9" outlineLevel="1" x14ac:dyDescent="0.15">
      <c r="A13" s="53" t="s">
        <v>90</v>
      </c>
      <c r="B13" s="56"/>
      <c r="C13" s="56"/>
      <c r="D13" s="56"/>
      <c r="E13" s="56"/>
      <c r="F13" s="56"/>
      <c r="G13" s="56"/>
      <c r="H13" s="56"/>
    </row>
    <row r="14" spans="1:9" outlineLevel="1" x14ac:dyDescent="0.15">
      <c r="A14" s="53" t="s">
        <v>91</v>
      </c>
      <c r="B14" s="56"/>
      <c r="C14" s="56"/>
      <c r="D14" s="56"/>
      <c r="E14" s="56"/>
      <c r="F14" s="56"/>
      <c r="G14" s="56"/>
      <c r="H14" s="56"/>
    </row>
    <row r="15" spans="1:9" x14ac:dyDescent="0.15">
      <c r="A15" s="51" t="s">
        <v>71</v>
      </c>
      <c r="B15" s="51"/>
    </row>
    <row r="16" spans="1:9" outlineLevel="1" x14ac:dyDescent="0.15">
      <c r="A16" s="52" t="s">
        <v>89</v>
      </c>
      <c r="B16" s="55"/>
      <c r="C16" s="55"/>
      <c r="D16" s="55"/>
      <c r="E16" s="55"/>
      <c r="F16" s="55"/>
      <c r="G16" s="55"/>
      <c r="H16" s="55"/>
    </row>
    <row r="17" spans="1:8" outlineLevel="1" x14ac:dyDescent="0.15">
      <c r="A17" s="53" t="s">
        <v>90</v>
      </c>
      <c r="B17" s="56"/>
      <c r="C17" s="56"/>
      <c r="D17" s="56"/>
      <c r="E17" s="56"/>
      <c r="F17" s="56"/>
      <c r="G17" s="56"/>
      <c r="H17" s="56"/>
    </row>
    <row r="18" spans="1:8" outlineLevel="1" x14ac:dyDescent="0.15">
      <c r="A18" s="53" t="s">
        <v>91</v>
      </c>
      <c r="B18" s="56"/>
      <c r="C18" s="56"/>
      <c r="D18" s="56"/>
      <c r="E18" s="56"/>
      <c r="F18" s="56"/>
      <c r="G18" s="56"/>
      <c r="H18" s="56"/>
    </row>
    <row r="19" spans="1:8" x14ac:dyDescent="0.15">
      <c r="A19" s="51" t="s">
        <v>74</v>
      </c>
      <c r="B19" s="51"/>
    </row>
    <row r="20" spans="1:8" outlineLevel="1" x14ac:dyDescent="0.15">
      <c r="A20" s="52" t="s">
        <v>89</v>
      </c>
      <c r="B20" s="55"/>
      <c r="C20" s="55"/>
      <c r="D20" s="55"/>
      <c r="E20" s="55"/>
      <c r="F20" s="55"/>
      <c r="G20" s="55"/>
      <c r="H20" s="55"/>
    </row>
    <row r="21" spans="1:8" outlineLevel="1" x14ac:dyDescent="0.15">
      <c r="A21" s="53" t="s">
        <v>90</v>
      </c>
      <c r="B21" s="56"/>
      <c r="C21" s="56"/>
      <c r="D21" s="56"/>
      <c r="E21" s="56"/>
      <c r="F21" s="56"/>
      <c r="G21" s="56"/>
      <c r="H21" s="56"/>
    </row>
    <row r="22" spans="1:8" outlineLevel="1" x14ac:dyDescent="0.15">
      <c r="A22" s="53" t="s">
        <v>91</v>
      </c>
      <c r="B22" s="56"/>
      <c r="C22" s="56"/>
      <c r="D22" s="56"/>
      <c r="E22" s="56"/>
      <c r="F22" s="56"/>
      <c r="G22" s="56"/>
      <c r="H22" s="56"/>
    </row>
    <row r="23" spans="1:8" x14ac:dyDescent="0.15">
      <c r="A23" s="51" t="s">
        <v>72</v>
      </c>
      <c r="B23" s="51"/>
    </row>
    <row r="24" spans="1:8" outlineLevel="1" x14ac:dyDescent="0.15">
      <c r="A24" s="52" t="s">
        <v>89</v>
      </c>
      <c r="B24" s="55"/>
      <c r="C24" s="55"/>
      <c r="D24" s="55"/>
      <c r="E24" s="55"/>
      <c r="F24" s="55"/>
      <c r="G24" s="55"/>
      <c r="H24" s="55"/>
    </row>
    <row r="25" spans="1:8" outlineLevel="1" x14ac:dyDescent="0.15">
      <c r="A25" s="53" t="s">
        <v>90</v>
      </c>
      <c r="B25" s="56"/>
      <c r="C25" s="56"/>
      <c r="D25" s="56"/>
      <c r="E25" s="56"/>
      <c r="F25" s="56"/>
      <c r="G25" s="56"/>
      <c r="H25" s="56"/>
    </row>
    <row r="26" spans="1:8" outlineLevel="1" x14ac:dyDescent="0.15">
      <c r="A26" s="53" t="s">
        <v>91</v>
      </c>
      <c r="B26" s="56"/>
      <c r="C26" s="56"/>
      <c r="D26" s="56"/>
      <c r="E26" s="56"/>
      <c r="F26" s="56"/>
      <c r="G26" s="56"/>
      <c r="H26" s="56"/>
    </row>
    <row r="27" spans="1:8" x14ac:dyDescent="0.15">
      <c r="A27" s="51" t="s">
        <v>73</v>
      </c>
      <c r="B27" s="51"/>
    </row>
    <row r="28" spans="1:8" outlineLevel="1" x14ac:dyDescent="0.15">
      <c r="A28" s="52" t="s">
        <v>89</v>
      </c>
      <c r="B28" s="55"/>
      <c r="C28" s="55"/>
      <c r="D28" s="55"/>
      <c r="E28" s="55"/>
      <c r="F28" s="55"/>
      <c r="G28" s="55"/>
      <c r="H28" s="55"/>
    </row>
    <row r="29" spans="1:8" outlineLevel="1" x14ac:dyDescent="0.15">
      <c r="A29" s="53" t="s">
        <v>90</v>
      </c>
      <c r="B29" s="56"/>
      <c r="C29" s="56"/>
      <c r="D29" s="56"/>
      <c r="E29" s="56"/>
      <c r="F29" s="56"/>
      <c r="G29" s="56"/>
      <c r="H29" s="56"/>
    </row>
    <row r="30" spans="1:8" outlineLevel="1" x14ac:dyDescent="0.15">
      <c r="A30" s="53" t="s">
        <v>91</v>
      </c>
      <c r="B30" s="56"/>
      <c r="C30" s="56"/>
      <c r="D30" s="56"/>
      <c r="E30" s="56"/>
      <c r="F30" s="56"/>
      <c r="G30" s="56"/>
      <c r="H30" s="56"/>
    </row>
    <row r="31" spans="1:8" outlineLevel="1" x14ac:dyDescent="0.15">
      <c r="A31" s="53" t="s">
        <v>79</v>
      </c>
      <c r="B31" s="56"/>
      <c r="C31" s="56"/>
      <c r="D31" s="56"/>
      <c r="E31" s="56"/>
      <c r="F31" s="56"/>
      <c r="G31" s="56"/>
      <c r="H31" s="56"/>
    </row>
    <row r="32" spans="1:8" outlineLevel="1" x14ac:dyDescent="0.15">
      <c r="A32" s="53" t="s">
        <v>80</v>
      </c>
      <c r="B32" s="56"/>
      <c r="C32" s="56"/>
      <c r="D32" s="56"/>
      <c r="E32" s="56"/>
      <c r="F32" s="56"/>
      <c r="G32" s="56"/>
      <c r="H32" s="56"/>
    </row>
    <row r="33" spans="1:8" outlineLevel="1" x14ac:dyDescent="0.15">
      <c r="A33" s="54" t="s">
        <v>81</v>
      </c>
      <c r="B33" s="57"/>
      <c r="C33" s="57"/>
      <c r="D33" s="57"/>
      <c r="E33" s="57"/>
      <c r="F33" s="57"/>
      <c r="G33" s="57"/>
      <c r="H33" s="57"/>
    </row>
    <row r="34" spans="1:8" x14ac:dyDescent="0.15">
      <c r="A34" s="51" t="s">
        <v>75</v>
      </c>
    </row>
    <row r="35" spans="1:8" outlineLevel="1" x14ac:dyDescent="0.15">
      <c r="A35" s="52" t="s">
        <v>89</v>
      </c>
      <c r="B35" s="55"/>
      <c r="C35" s="55"/>
      <c r="D35" s="55"/>
      <c r="E35" s="55"/>
      <c r="F35" s="55"/>
      <c r="G35" s="55"/>
      <c r="H35" s="55"/>
    </row>
    <row r="36" spans="1:8" outlineLevel="1" x14ac:dyDescent="0.15">
      <c r="A36" s="53" t="s">
        <v>90</v>
      </c>
      <c r="B36" s="56"/>
      <c r="C36" s="56"/>
      <c r="D36" s="56"/>
      <c r="E36" s="56"/>
      <c r="F36" s="56"/>
      <c r="G36" s="56"/>
      <c r="H36" s="56"/>
    </row>
    <row r="37" spans="1:8" outlineLevel="1" x14ac:dyDescent="0.15">
      <c r="A37" s="53" t="s">
        <v>91</v>
      </c>
      <c r="B37" s="56"/>
      <c r="C37" s="56"/>
      <c r="D37" s="56"/>
      <c r="E37" s="56"/>
      <c r="F37" s="56"/>
      <c r="G37" s="56"/>
      <c r="H37" s="56"/>
    </row>
    <row r="38" spans="1:8" outlineLevel="1" x14ac:dyDescent="0.15">
      <c r="A38" s="53" t="s">
        <v>79</v>
      </c>
      <c r="B38" s="56"/>
      <c r="C38" s="56"/>
      <c r="D38" s="56"/>
      <c r="E38" s="56"/>
      <c r="F38" s="56"/>
      <c r="G38" s="56"/>
      <c r="H38" s="56"/>
    </row>
    <row r="39" spans="1:8" outlineLevel="1" x14ac:dyDescent="0.15">
      <c r="A39" s="53" t="s">
        <v>80</v>
      </c>
      <c r="B39" s="56"/>
      <c r="C39" s="56"/>
      <c r="D39" s="56"/>
      <c r="E39" s="56"/>
      <c r="F39" s="56"/>
      <c r="G39" s="56"/>
      <c r="H39" s="56"/>
    </row>
    <row r="40" spans="1:8" outlineLevel="1" x14ac:dyDescent="0.15">
      <c r="A40" s="54" t="s">
        <v>81</v>
      </c>
      <c r="B40" s="57"/>
      <c r="C40" s="57"/>
      <c r="D40" s="57"/>
      <c r="E40" s="57"/>
      <c r="F40" s="57"/>
      <c r="G40" s="57"/>
      <c r="H40" s="57"/>
    </row>
    <row r="41" spans="1:8" x14ac:dyDescent="0.15">
      <c r="A41" s="51" t="s">
        <v>77</v>
      </c>
    </row>
    <row r="42" spans="1:8" x14ac:dyDescent="0.15">
      <c r="A42" s="51"/>
    </row>
    <row r="43" spans="1:8" x14ac:dyDescent="0.15">
      <c r="A43" s="64" t="s">
        <v>69</v>
      </c>
      <c r="B43" s="64"/>
    </row>
    <row r="44" spans="1:8" x14ac:dyDescent="0.15">
      <c r="A44" s="65"/>
      <c r="B44" s="65"/>
      <c r="C44" s="65"/>
      <c r="D44" s="65"/>
      <c r="E44" s="65"/>
      <c r="F44" s="65"/>
      <c r="G44" s="65"/>
      <c r="H44" s="65"/>
    </row>
    <row r="45" spans="1:8" x14ac:dyDescent="0.15">
      <c r="A45" s="65"/>
      <c r="B45" s="65"/>
      <c r="C45" s="65"/>
      <c r="D45" s="65"/>
      <c r="E45" s="65"/>
      <c r="F45" s="65"/>
      <c r="G45" s="65"/>
      <c r="H45" s="65"/>
    </row>
    <row r="46" spans="1:8" x14ac:dyDescent="0.15">
      <c r="A46" s="65"/>
      <c r="B46" s="65"/>
      <c r="C46" s="65"/>
      <c r="D46" s="65"/>
      <c r="E46" s="65"/>
      <c r="F46" s="65"/>
      <c r="G46" s="65"/>
      <c r="H46" s="65"/>
    </row>
    <row r="47" spans="1:8" x14ac:dyDescent="0.15">
      <c r="A47" s="65"/>
      <c r="B47" s="65"/>
      <c r="C47" s="65"/>
      <c r="D47" s="65"/>
      <c r="E47" s="65"/>
      <c r="F47" s="65"/>
      <c r="G47" s="65"/>
      <c r="H47" s="65"/>
    </row>
    <row r="48" spans="1:8" x14ac:dyDescent="0.15">
      <c r="A48" s="65"/>
      <c r="B48" s="65"/>
      <c r="C48" s="65"/>
      <c r="D48" s="65"/>
      <c r="E48" s="65"/>
      <c r="F48" s="65"/>
      <c r="G48" s="65"/>
      <c r="H48" s="65"/>
    </row>
    <row r="49" spans="1:8" x14ac:dyDescent="0.15">
      <c r="A49" s="65"/>
      <c r="B49" s="65"/>
      <c r="C49" s="65"/>
      <c r="D49" s="65"/>
      <c r="E49" s="65"/>
      <c r="F49" s="65"/>
      <c r="G49" s="65"/>
      <c r="H49" s="65"/>
    </row>
    <row r="50" spans="1:8" x14ac:dyDescent="0.15">
      <c r="A50" s="65"/>
      <c r="B50" s="65"/>
      <c r="C50" s="65"/>
      <c r="D50" s="65"/>
      <c r="E50" s="65"/>
      <c r="F50" s="65"/>
      <c r="G50" s="65"/>
      <c r="H50" s="65"/>
    </row>
    <row r="51" spans="1:8" x14ac:dyDescent="0.15">
      <c r="A51" s="65"/>
      <c r="B51" s="65"/>
      <c r="C51" s="65"/>
      <c r="D51" s="65"/>
      <c r="E51" s="65"/>
      <c r="F51" s="65"/>
      <c r="G51" s="65"/>
      <c r="H51" s="65"/>
    </row>
    <row r="52" spans="1:8" x14ac:dyDescent="0.15">
      <c r="A52" s="65"/>
      <c r="B52" s="65"/>
      <c r="C52" s="65"/>
      <c r="D52" s="65"/>
      <c r="E52" s="65"/>
      <c r="F52" s="65"/>
      <c r="G52" s="65"/>
      <c r="H52" s="65"/>
    </row>
    <row r="53" spans="1:8" x14ac:dyDescent="0.15">
      <c r="A53" s="65"/>
      <c r="B53" s="65"/>
      <c r="C53" s="65"/>
      <c r="D53" s="65"/>
      <c r="E53" s="65"/>
      <c r="F53" s="65"/>
      <c r="G53" s="65"/>
      <c r="H53" s="65"/>
    </row>
    <row r="54" spans="1:8" x14ac:dyDescent="0.15">
      <c r="A54" s="65"/>
      <c r="B54" s="65"/>
      <c r="C54" s="65"/>
      <c r="D54" s="65"/>
      <c r="E54" s="65"/>
      <c r="F54" s="65"/>
      <c r="G54" s="65"/>
      <c r="H54" s="65"/>
    </row>
    <row r="55" spans="1:8" x14ac:dyDescent="0.15">
      <c r="A55" s="65"/>
      <c r="B55" s="65"/>
      <c r="C55" s="65"/>
      <c r="D55" s="65"/>
      <c r="E55" s="65"/>
      <c r="F55" s="65"/>
      <c r="G55" s="65"/>
      <c r="H55" s="65"/>
    </row>
    <row r="56" spans="1:8" x14ac:dyDescent="0.15">
      <c r="A56" s="65"/>
      <c r="B56" s="65"/>
      <c r="C56" s="65"/>
      <c r="D56" s="65"/>
      <c r="E56" s="65"/>
      <c r="F56" s="65"/>
      <c r="G56" s="65"/>
      <c r="H56" s="65"/>
    </row>
    <row r="57" spans="1:8" x14ac:dyDescent="0.15">
      <c r="A57" s="65"/>
      <c r="B57" s="65"/>
      <c r="C57" s="65"/>
      <c r="D57" s="65"/>
      <c r="E57" s="65"/>
      <c r="F57" s="65"/>
      <c r="G57" s="65"/>
      <c r="H57" s="65"/>
    </row>
    <row r="58" spans="1:8" x14ac:dyDescent="0.15">
      <c r="A58" s="65"/>
      <c r="B58" s="65"/>
      <c r="C58" s="65"/>
      <c r="D58" s="65"/>
      <c r="E58" s="65"/>
      <c r="F58" s="65"/>
      <c r="G58" s="65"/>
      <c r="H58" s="65"/>
    </row>
    <row r="59" spans="1:8" x14ac:dyDescent="0.15">
      <c r="A59" s="65"/>
      <c r="B59" s="65"/>
      <c r="C59" s="65"/>
      <c r="D59" s="65"/>
      <c r="E59" s="65"/>
      <c r="F59" s="65"/>
      <c r="G59" s="65"/>
      <c r="H59" s="65"/>
    </row>
  </sheetData>
  <mergeCells count="10">
    <mergeCell ref="G1:G2"/>
    <mergeCell ref="H1:H2"/>
    <mergeCell ref="A43:B43"/>
    <mergeCell ref="A44:H59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1D65-536C-AD4C-BD37-BF12B1DC46F0}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1D01-E232-B641-AB9C-3AD1F5F23447}">
  <dimension ref="A1:A5"/>
  <sheetViews>
    <sheetView workbookViewId="0">
      <selection sqref="A1:A5"/>
    </sheetView>
  </sheetViews>
  <sheetFormatPr baseColWidth="10" defaultRowHeight="13" x14ac:dyDescent="0.15"/>
  <sheetData>
    <row r="1" spans="1:1" ht="15" thickBot="1" x14ac:dyDescent="0.2">
      <c r="A1" s="68" t="s">
        <v>82</v>
      </c>
    </row>
    <row r="2" spans="1:1" ht="15" thickBot="1" x14ac:dyDescent="0.2">
      <c r="A2" s="69" t="s">
        <v>83</v>
      </c>
    </row>
    <row r="3" spans="1:1" ht="15" thickBot="1" x14ac:dyDescent="0.2">
      <c r="A3" s="70" t="s">
        <v>84</v>
      </c>
    </row>
    <row r="4" spans="1:1" ht="15" thickBot="1" x14ac:dyDescent="0.2">
      <c r="A4" s="70" t="s">
        <v>85</v>
      </c>
    </row>
    <row r="5" spans="1:1" ht="15" thickBot="1" x14ac:dyDescent="0.2">
      <c r="A5" s="69" t="s">
        <v>86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c2e4995d-dd35-4fda-86cd-348d58949098" xsi:nil="true"/>
    <TeamsChannelId xmlns="c2e4995d-dd35-4fda-86cd-348d58949098" xsi:nil="true"/>
    <IsNotebookLocked xmlns="c2e4995d-dd35-4fda-86cd-348d58949098" xsi:nil="true"/>
    <FolderType xmlns="c2e4995d-dd35-4fda-86cd-348d58949098" xsi:nil="true"/>
    <Distribution_Groups xmlns="c2e4995d-dd35-4fda-86cd-348d58949098" xsi:nil="true"/>
    <NotebookType xmlns="c2e4995d-dd35-4fda-86cd-348d58949098" xsi:nil="true"/>
    <Students xmlns="c2e4995d-dd35-4fda-86cd-348d58949098">
      <UserInfo>
        <DisplayName/>
        <AccountId xsi:nil="true"/>
        <AccountType/>
      </UserInfo>
    </Students>
    <Student_Groups xmlns="c2e4995d-dd35-4fda-86cd-348d58949098">
      <UserInfo>
        <DisplayName/>
        <AccountId xsi:nil="true"/>
        <AccountType/>
      </UserInfo>
    </Student_Groups>
    <Invited_Teachers xmlns="c2e4995d-dd35-4fda-86cd-348d58949098" xsi:nil="true"/>
    <Invited_Students xmlns="c2e4995d-dd35-4fda-86cd-348d58949098" xsi:nil="true"/>
    <LMS_Mappings xmlns="c2e4995d-dd35-4fda-86cd-348d58949098" xsi:nil="true"/>
    <Has_Teacher_Only_SectionGroup xmlns="c2e4995d-dd35-4fda-86cd-348d58949098" xsi:nil="true"/>
    <CultureName xmlns="c2e4995d-dd35-4fda-86cd-348d58949098" xsi:nil="true"/>
    <Owner xmlns="c2e4995d-dd35-4fda-86cd-348d58949098">
      <UserInfo>
        <DisplayName/>
        <AccountId xsi:nil="true"/>
        <AccountType/>
      </UserInfo>
    </Owner>
    <AppVersion xmlns="c2e4995d-dd35-4fda-86cd-348d58949098" xsi:nil="true"/>
    <DefaultSectionNames xmlns="c2e4995d-dd35-4fda-86cd-348d58949098" xsi:nil="true"/>
    <Is_Collaboration_Space_Locked xmlns="c2e4995d-dd35-4fda-86cd-348d58949098" xsi:nil="true"/>
    <Math_Settings xmlns="c2e4995d-dd35-4fda-86cd-348d58949098" xsi:nil="true"/>
    <Templates xmlns="c2e4995d-dd35-4fda-86cd-348d58949098" xsi:nil="true"/>
    <Teachers xmlns="c2e4995d-dd35-4fda-86cd-348d58949098">
      <UserInfo>
        <DisplayName/>
        <AccountId xsi:nil="true"/>
        <AccountType/>
      </UserInfo>
    </Teach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9C70D5E8EE41A8311A48836DF8AB" ma:contentTypeVersion="26" ma:contentTypeDescription="Vytvoří nový dokument" ma:contentTypeScope="" ma:versionID="9f091c20a0f3d98cae09c0eab12bcd71">
  <xsd:schema xmlns:xsd="http://www.w3.org/2001/XMLSchema" xmlns:xs="http://www.w3.org/2001/XMLSchema" xmlns:p="http://schemas.microsoft.com/office/2006/metadata/properties" xmlns:ns3="1ebffdde-c38d-4769-b644-3ecf950884bb" xmlns:ns4="c2e4995d-dd35-4fda-86cd-348d58949098" targetNamespace="http://schemas.microsoft.com/office/2006/metadata/properties" ma:root="true" ma:fieldsID="59fa2a209df6c6e7d9ad1ab874db22b5" ns3:_="" ns4:_="">
    <xsd:import namespace="1ebffdde-c38d-4769-b644-3ecf950884bb"/>
    <xsd:import namespace="c2e4995d-dd35-4fda-86cd-348d58949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Distribution_Groups" minOccurs="0"/>
                <xsd:element ref="ns4:LMS_Mappin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fdde-c38d-4769-b644-3ecf950884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995d-dd35-4fda-86cd-348d58949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IsNotebookLocked" ma:index="30" nillable="true" ma:displayName="Is Notebook Locked" ma:internalName="IsNotebookLocked">
      <xsd:simpleType>
        <xsd:restriction base="dms:Boolean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02CB1-BDDE-4101-8005-753D452EFF29}">
  <ds:schemaRefs>
    <ds:schemaRef ds:uri="1ebffdde-c38d-4769-b644-3ecf950884bb"/>
    <ds:schemaRef ds:uri="c2e4995d-dd35-4fda-86cd-348d58949098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B009F4E-F380-41A0-B222-E3DBEB5FB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0D610-5694-463A-8065-3F3D4CFCD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ffdde-c38d-4769-b644-3ecf950884bb"/>
    <ds:schemaRef ds:uri="c2e4995d-dd35-4fda-86cd-348d58949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Úkol 1d) peer group</vt:lpstr>
      <vt:lpstr>ALZA.cz_data set</vt:lpstr>
      <vt:lpstr>Alza_Vypočet ziskových úrovní</vt:lpstr>
      <vt:lpstr>Ukazatele likvidity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Tomáš Brabenec</cp:lastModifiedBy>
  <dcterms:created xsi:type="dcterms:W3CDTF">2019-02-13T09:54:55Z</dcterms:created>
  <dcterms:modified xsi:type="dcterms:W3CDTF">2024-03-19T13:03:09Z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0x0101005A819C70D5E8EE41A8311A48836DF8AB</vt:lpwstr>
  </property>
</Properties>
</file>